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politowski.WUW\Desktop\shit\"/>
    </mc:Choice>
  </mc:AlternateContent>
  <xr:revisionPtr revIDLastSave="0" documentId="13_ncr:1_{F17E5E09-4CA4-4F2B-8EE1-0A38F25629D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wniosek" sheetId="1" r:id="rId1"/>
    <sheet name="powiaty" sheetId="3" r:id="rId2"/>
    <sheet name="gminy" sheetId="4" r:id="rId3"/>
    <sheet name="inne" sheetId="12" r:id="rId4"/>
    <sheet name="dane" sheetId="5" r:id="rId5"/>
    <sheet name="Ocena" sheetId="6" state="hidden" r:id="rId6"/>
    <sheet name="Wskaźniki" sheetId="7" state="hidden" r:id="rId7"/>
    <sheet name="PDW" sheetId="8" state="hidden" r:id="rId8"/>
    <sheet name="PDW Miasta" sheetId="9" state="hidden" r:id="rId9"/>
    <sheet name="zbiorczy" sheetId="10" state="hidden" r:id="rId10"/>
    <sheet name="Karta oceny" sheetId="11" state="hidden" r:id="rId11"/>
  </sheets>
  <definedNames>
    <definedName name="_xlnm._FilterDatabase" localSheetId="7" hidden="1">PDW!$A$3:$E$32</definedName>
    <definedName name="_xlnm.Print_Area" localSheetId="0">wniosek!$A$1:$H$201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5" l="1"/>
  <c r="M3" i="5"/>
  <c r="F103" i="1" l="1"/>
  <c r="J3" i="5" s="1"/>
  <c r="E103" i="1"/>
  <c r="I3" i="5" s="1"/>
  <c r="D103" i="1"/>
  <c r="C103" i="1"/>
  <c r="K3" i="5" l="1"/>
  <c r="D3" i="5"/>
  <c r="G3" i="5"/>
  <c r="H3" i="5"/>
  <c r="T3" i="10" l="1"/>
  <c r="H40" i="11" s="1"/>
  <c r="H39" i="6"/>
  <c r="H38" i="6" s="1"/>
  <c r="E3" i="5"/>
  <c r="C4" i="11"/>
  <c r="H30" i="6" l="1"/>
  <c r="J30" i="6" s="1"/>
  <c r="J3" i="10" s="1"/>
  <c r="H24" i="11" s="1"/>
  <c r="E3" i="10"/>
  <c r="B3" i="10"/>
  <c r="C4" i="6"/>
  <c r="Q3" i="10"/>
  <c r="H31" i="11" s="1"/>
  <c r="P3" i="10"/>
  <c r="H30" i="11" s="1"/>
  <c r="O3" i="10"/>
  <c r="H29" i="11" s="1"/>
  <c r="N3" i="10"/>
  <c r="H28" i="11" s="1"/>
  <c r="M3" i="10"/>
  <c r="H27" i="11" s="1"/>
  <c r="I3" i="10"/>
  <c r="H23" i="11" s="1"/>
  <c r="K7" i="9"/>
  <c r="K6" i="9"/>
  <c r="K5" i="9"/>
  <c r="J4" i="9"/>
  <c r="I4" i="9"/>
  <c r="H4" i="9"/>
  <c r="G4" i="9"/>
  <c r="F4" i="9"/>
  <c r="E4" i="9"/>
  <c r="D4" i="9"/>
  <c r="C4" i="9"/>
  <c r="P32" i="8"/>
  <c r="L32" i="8"/>
  <c r="E32" i="8"/>
  <c r="P31" i="8"/>
  <c r="L31" i="8"/>
  <c r="E31" i="8"/>
  <c r="P30" i="8"/>
  <c r="L30" i="8"/>
  <c r="E30" i="8"/>
  <c r="P29" i="8"/>
  <c r="L29" i="8"/>
  <c r="E29" i="8"/>
  <c r="P28" i="8"/>
  <c r="L28" i="8"/>
  <c r="E28" i="8"/>
  <c r="P27" i="8"/>
  <c r="L27" i="8"/>
  <c r="E27" i="8"/>
  <c r="P26" i="8"/>
  <c r="L26" i="8"/>
  <c r="E26" i="8"/>
  <c r="P25" i="8"/>
  <c r="L25" i="8"/>
  <c r="E25" i="8"/>
  <c r="P24" i="8"/>
  <c r="L24" i="8"/>
  <c r="E24" i="8"/>
  <c r="P23" i="8"/>
  <c r="L23" i="8"/>
  <c r="E23" i="8"/>
  <c r="P22" i="8"/>
  <c r="L22" i="8"/>
  <c r="E22" i="8"/>
  <c r="P21" i="8"/>
  <c r="L21" i="8"/>
  <c r="E21" i="8"/>
  <c r="P20" i="8"/>
  <c r="L20" i="8"/>
  <c r="E20" i="8"/>
  <c r="P19" i="8"/>
  <c r="L19" i="8"/>
  <c r="E19" i="8"/>
  <c r="P18" i="8"/>
  <c r="L18" i="8"/>
  <c r="E18" i="8"/>
  <c r="P17" i="8"/>
  <c r="L17" i="8"/>
  <c r="E17" i="8"/>
  <c r="P16" i="8"/>
  <c r="L16" i="8"/>
  <c r="E16" i="8"/>
  <c r="P15" i="8"/>
  <c r="L15" i="8"/>
  <c r="E15" i="8"/>
  <c r="P14" i="8"/>
  <c r="L14" i="8"/>
  <c r="E14" i="8"/>
  <c r="P13" i="8"/>
  <c r="L13" i="8"/>
  <c r="E13" i="8"/>
  <c r="P12" i="8"/>
  <c r="L12" i="8"/>
  <c r="E12" i="8"/>
  <c r="P11" i="8"/>
  <c r="L11" i="8"/>
  <c r="E11" i="8"/>
  <c r="P10" i="8"/>
  <c r="L10" i="8"/>
  <c r="E10" i="8"/>
  <c r="P9" i="8"/>
  <c r="L9" i="8"/>
  <c r="E9" i="8"/>
  <c r="P8" i="8"/>
  <c r="L8" i="8"/>
  <c r="E8" i="8"/>
  <c r="P7" i="8"/>
  <c r="L7" i="8"/>
  <c r="E7" i="8"/>
  <c r="P6" i="8"/>
  <c r="L6" i="8"/>
  <c r="E6" i="8"/>
  <c r="P5" i="8"/>
  <c r="L5" i="8"/>
  <c r="E5" i="8"/>
  <c r="K4" i="8"/>
  <c r="J4" i="8"/>
  <c r="I4" i="8"/>
  <c r="H4" i="8"/>
  <c r="G4" i="8"/>
  <c r="F4" i="8"/>
  <c r="D4" i="8"/>
  <c r="P4" i="8" s="1"/>
  <c r="Q4" i="8" s="1"/>
  <c r="J35" i="6"/>
  <c r="J34" i="6"/>
  <c r="J33" i="6"/>
  <c r="J29" i="6"/>
  <c r="J28" i="6"/>
  <c r="H22" i="11" s="1"/>
  <c r="J27" i="6"/>
  <c r="H21" i="11" s="1"/>
  <c r="J26" i="6"/>
  <c r="H20" i="11" s="1"/>
  <c r="J25" i="6"/>
  <c r="H19" i="11" s="1"/>
  <c r="J24" i="6"/>
  <c r="H18" i="11" s="1"/>
  <c r="J23" i="6"/>
  <c r="H17" i="11" s="1"/>
  <c r="J17" i="6"/>
  <c r="H13" i="11" s="1"/>
  <c r="Q16" i="8" l="1"/>
  <c r="Q24" i="8"/>
  <c r="Q32" i="8"/>
  <c r="Q18" i="8"/>
  <c r="Q19" i="8"/>
  <c r="Q27" i="8"/>
  <c r="K4" i="9"/>
  <c r="Q21" i="8"/>
  <c r="Q6" i="8"/>
  <c r="Q22" i="8"/>
  <c r="Q30" i="8"/>
  <c r="Q10" i="8"/>
  <c r="Q9" i="8"/>
  <c r="Q25" i="8"/>
  <c r="Q13" i="8"/>
  <c r="Q12" i="8"/>
  <c r="Q28" i="8"/>
  <c r="E4" i="8"/>
  <c r="Q7" i="8"/>
  <c r="Q15" i="8"/>
  <c r="Q31" i="8"/>
  <c r="Q5" i="8"/>
  <c r="Q8" i="8"/>
  <c r="Q11" i="8"/>
  <c r="Q14" i="8"/>
  <c r="Q17" i="8"/>
  <c r="Q20" i="8"/>
  <c r="Q23" i="8"/>
  <c r="Q26" i="8"/>
  <c r="Q29" i="8"/>
  <c r="G13" i="6"/>
  <c r="G14" i="6"/>
  <c r="G45" i="6"/>
  <c r="I45" i="6" s="1"/>
  <c r="J45" i="6" s="1"/>
  <c r="H37" i="11" s="1"/>
  <c r="L3" i="5"/>
  <c r="D8" i="11" l="1"/>
  <c r="C6" i="11"/>
  <c r="I36" i="6"/>
  <c r="G19" i="6"/>
  <c r="I47" i="6"/>
  <c r="I32" i="6"/>
  <c r="I31" i="6"/>
  <c r="D8" i="6"/>
  <c r="I14" i="6"/>
  <c r="G22" i="6"/>
  <c r="I22" i="6" s="1"/>
  <c r="I13" i="6"/>
  <c r="G15" i="6"/>
  <c r="I15" i="6" s="1"/>
  <c r="D3" i="10"/>
  <c r="F3" i="5"/>
  <c r="J13" i="6" l="1"/>
  <c r="H12" i="11" s="1"/>
  <c r="M31" i="6"/>
  <c r="N31" i="6"/>
  <c r="Q19" i="6"/>
  <c r="L19" i="6"/>
  <c r="R31" i="6"/>
  <c r="Q31" i="6"/>
  <c r="L31" i="6"/>
  <c r="O32" i="6"/>
  <c r="P31" i="6"/>
  <c r="R19" i="6"/>
  <c r="O31" i="6"/>
  <c r="P19" i="6"/>
  <c r="M19" i="6"/>
  <c r="N19" i="6"/>
  <c r="K19" i="6"/>
  <c r="K31" i="6"/>
  <c r="O19" i="6"/>
  <c r="N32" i="6"/>
  <c r="L32" i="6"/>
  <c r="K32" i="6"/>
  <c r="M32" i="6"/>
  <c r="L50" i="6"/>
  <c r="M48" i="6"/>
  <c r="N51" i="6"/>
  <c r="O51" i="6"/>
  <c r="Y51" i="6"/>
  <c r="W51" i="6"/>
  <c r="M51" i="6"/>
  <c r="T51" i="6"/>
  <c r="U51" i="6"/>
  <c r="P48" i="6"/>
  <c r="K50" i="6"/>
  <c r="O48" i="6"/>
  <c r="L47" i="6"/>
  <c r="K51" i="6"/>
  <c r="N48" i="6"/>
  <c r="M49" i="6"/>
  <c r="M50" i="6"/>
  <c r="L48" i="6"/>
  <c r="M47" i="6"/>
  <c r="Q51" i="6"/>
  <c r="N49" i="6"/>
  <c r="Q48" i="6"/>
  <c r="P51" i="6"/>
  <c r="L51" i="6"/>
  <c r="K49" i="6"/>
  <c r="V51" i="6"/>
  <c r="K48" i="6"/>
  <c r="K47" i="6"/>
  <c r="X51" i="6"/>
  <c r="L49" i="6"/>
  <c r="N50" i="6"/>
  <c r="S51" i="6"/>
  <c r="R51" i="6"/>
  <c r="F3" i="10"/>
  <c r="C6" i="6"/>
  <c r="G21" i="6"/>
  <c r="I21" i="6" s="1"/>
  <c r="J21" i="6" s="1"/>
  <c r="H16" i="11" s="1"/>
  <c r="W19" i="6"/>
  <c r="S19" i="6"/>
  <c r="X19" i="6"/>
  <c r="U19" i="6"/>
  <c r="Y19" i="6"/>
  <c r="V19" i="6"/>
  <c r="Z19" i="6"/>
  <c r="T19" i="6"/>
  <c r="E64" i="1"/>
  <c r="C34" i="1" s="1"/>
  <c r="O3" i="5" s="1"/>
  <c r="P3" i="5" l="1"/>
  <c r="S3" i="5" s="1"/>
  <c r="H19" i="6"/>
  <c r="H3" i="10" s="1"/>
  <c r="H14" i="11" s="1"/>
  <c r="H31" i="6"/>
  <c r="K3" i="10" s="1"/>
  <c r="H25" i="11" s="1"/>
  <c r="J31" i="6"/>
  <c r="I37" i="6"/>
  <c r="J19" i="6"/>
  <c r="H15" i="11" s="1"/>
  <c r="J32" i="6"/>
  <c r="H32" i="6"/>
  <c r="L3" i="10" s="1"/>
  <c r="H26" i="11" s="1"/>
  <c r="J47" i="6"/>
  <c r="H38" i="11" s="1"/>
  <c r="H12" i="6"/>
  <c r="G3" i="10" s="1"/>
  <c r="H11" i="11" s="1"/>
  <c r="B84" i="1"/>
  <c r="Q3" i="5" l="1"/>
  <c r="H10" i="11"/>
  <c r="G49" i="6"/>
  <c r="G50" i="6"/>
  <c r="G51" i="6"/>
  <c r="G47" i="6"/>
  <c r="G48" i="6"/>
  <c r="G132" i="1" l="1"/>
  <c r="E132" i="1"/>
  <c r="G43" i="6" l="1"/>
  <c r="I43" i="6" s="1"/>
  <c r="J43" i="6" s="1"/>
  <c r="G40" i="6"/>
  <c r="I40" i="6" s="1"/>
  <c r="J40" i="6" s="1"/>
  <c r="G52" i="6"/>
  <c r="I52" i="6" s="1"/>
  <c r="J52" i="6" s="1"/>
  <c r="H52" i="6" s="1"/>
  <c r="G44" i="6"/>
  <c r="I44" i="6" s="1"/>
  <c r="J44" i="6" s="1"/>
  <c r="H36" i="11" s="1"/>
  <c r="S3" i="10" l="1"/>
  <c r="H39" i="11"/>
  <c r="H34" i="11"/>
  <c r="F64" i="1"/>
  <c r="E66" i="1" l="1"/>
  <c r="A34" i="1" s="1"/>
  <c r="G42" i="6" l="1"/>
  <c r="I42" i="6" s="1"/>
  <c r="J42" i="6" s="1"/>
  <c r="H35" i="11" l="1"/>
  <c r="H41" i="11" s="1"/>
  <c r="H40" i="6"/>
  <c r="R3" i="10" l="1"/>
  <c r="H33" i="11" s="1"/>
  <c r="H32" i="11" s="1"/>
  <c r="H54" i="6"/>
  <c r="A3" i="10" s="1"/>
</calcChain>
</file>

<file path=xl/sharedStrings.xml><?xml version="1.0" encoding="utf-8"?>
<sst xmlns="http://schemas.openxmlformats.org/spreadsheetml/2006/main" count="721" uniqueCount="545">
  <si>
    <t>powiatowego</t>
  </si>
  <si>
    <t>(wybierz)</t>
  </si>
  <si>
    <t>I. Zadanie</t>
  </si>
  <si>
    <t>Powiat</t>
  </si>
  <si>
    <t>Kategoria drogi</t>
  </si>
  <si>
    <t>powiatowa</t>
  </si>
  <si>
    <t>III. Koszt zadania</t>
  </si>
  <si>
    <t>Lp.</t>
  </si>
  <si>
    <t>od</t>
  </si>
  <si>
    <t>do</t>
  </si>
  <si>
    <t>RAZEM:</t>
  </si>
  <si>
    <t>IV. Harmonogram rzeczowo-finansowy</t>
  </si>
  <si>
    <t>odcinki (lp.)</t>
  </si>
  <si>
    <t>str. lewa</t>
  </si>
  <si>
    <t>str. prawa</t>
  </si>
  <si>
    <t>liczba</t>
  </si>
  <si>
    <t>w tym z peronami</t>
  </si>
  <si>
    <t>miejscowość i data</t>
  </si>
  <si>
    <t>Nazwa wnioskodawcy (zarządcy drogi), adres</t>
  </si>
  <si>
    <t>Imię nazwisko i nr telefonu osoby wyznaczonej do kontaktu</t>
  </si>
  <si>
    <t>Adres email osoby wyznaczonej do kontaktu</t>
  </si>
  <si>
    <t>RAZEM KOSZTY:</t>
  </si>
  <si>
    <t>Zgłoszenie właściwemu organowi architektoniczno-budowlanemu wykonywania robót budowlanych
(należy wskazać numer, datę i organ wydający każdy załączony dokument)</t>
  </si>
  <si>
    <t>IV.1.</t>
  </si>
  <si>
    <t>IV.2.</t>
  </si>
  <si>
    <r>
      <t xml:space="preserve">znak sprawy </t>
    </r>
    <r>
      <rPr>
        <i/>
        <sz val="14"/>
        <rFont val="Arial"/>
        <family val="2"/>
        <charset val="238"/>
      </rPr>
      <t>(wypełnia WUW)</t>
    </r>
  </si>
  <si>
    <r>
      <t xml:space="preserve">odcinki </t>
    </r>
    <r>
      <rPr>
        <sz val="14"/>
        <color theme="1"/>
        <rFont val="Arial"/>
        <family val="2"/>
        <charset val="238"/>
      </rPr>
      <t>(lp.)</t>
    </r>
  </si>
  <si>
    <t>Zaświadczenie właściwego organu architektoniczno-budowlanego o braku podstaw do wniesienia sprzeciwu wobec przedłożonego zgłoszenia inwestora (należy wskazać numer, datę i organ wydający każdy załączony dokument)</t>
  </si>
  <si>
    <t>zadanie obejmuje wyłącznie drogi publiczne, które zostały zaliczone do kategorii dróg powiatowych lub gminnych;</t>
  </si>
  <si>
    <r>
      <t xml:space="preserve">Podpisy  i pieczątki osób upoważnionych z ramienia wnioskodawcy </t>
    </r>
    <r>
      <rPr>
        <sz val="16"/>
        <color theme="1"/>
        <rFont val="Arial"/>
        <family val="2"/>
        <charset val="238"/>
      </rPr>
      <t>(wraz z podpisem Skarbnika/Gł. Księgowego)</t>
    </r>
  </si>
  <si>
    <t>Babiak (wiejska)</t>
  </si>
  <si>
    <t>Baranów (wiejska)</t>
  </si>
  <si>
    <t>Białośliwie (wiejska)</t>
  </si>
  <si>
    <t>Blizanów (wiejska)</t>
  </si>
  <si>
    <t>Bojanowo (miejsko-wiejska)</t>
  </si>
  <si>
    <t>Borek Wielkopolski (miejsko-wiejska)</t>
  </si>
  <si>
    <t>Bralin (wiejska)</t>
  </si>
  <si>
    <t>Brodnica (wiejska)</t>
  </si>
  <si>
    <t>Brudzew (wiejska)</t>
  </si>
  <si>
    <t>Brzeziny (wiejska)</t>
  </si>
  <si>
    <t>Budzyń (wiejska)</t>
  </si>
  <si>
    <t>Buk (miejsko-wiejska)</t>
  </si>
  <si>
    <t>Ceków-Kolonia (wiejska)</t>
  </si>
  <si>
    <t>Chocz (miejsko-wiejska)</t>
  </si>
  <si>
    <t>Chodów (wiejska)</t>
  </si>
  <si>
    <t>Chodzież (miejska)</t>
  </si>
  <si>
    <t>Chodzież (wiejska)</t>
  </si>
  <si>
    <t>Chrzypsko Wielkie (wiejska)</t>
  </si>
  <si>
    <t>Czajków (wiejska)</t>
  </si>
  <si>
    <t>Czarnków (miejska)</t>
  </si>
  <si>
    <t>Czarnków (wiejska)</t>
  </si>
  <si>
    <t>Czempiń (miejsko-wiejska)</t>
  </si>
  <si>
    <t>Czermin (wiejska)</t>
  </si>
  <si>
    <t>Czerniejewo (miejsko-wiejska)</t>
  </si>
  <si>
    <t>Czerwonak (wiejska)</t>
  </si>
  <si>
    <t>Damasławek (wiejska)</t>
  </si>
  <si>
    <t>Dąbie (miejsko-wiejska)</t>
  </si>
  <si>
    <t>Dobra (miejsko-wiejska)</t>
  </si>
  <si>
    <t>Dobrzyca (miejsko-wiejska)</t>
  </si>
  <si>
    <t>Dolsk (miejsko-wiejska)</t>
  </si>
  <si>
    <t>Dominowo (wiejska)</t>
  </si>
  <si>
    <t>Dopiewo (wiejska)</t>
  </si>
  <si>
    <t>Doruchów (wiejska)</t>
  </si>
  <si>
    <t>Drawsko (wiejska)</t>
  </si>
  <si>
    <t>Duszniki (wiejska)</t>
  </si>
  <si>
    <t>Gizałki (wiejska)</t>
  </si>
  <si>
    <t>Gniezno (miejska)</t>
  </si>
  <si>
    <t>Gniezno (wiejska)</t>
  </si>
  <si>
    <t>Godziesze Wielkie (wiejska)</t>
  </si>
  <si>
    <t>Golina (miejsko-wiejska)</t>
  </si>
  <si>
    <t>Gołańcz (miejsko-wiejska)</t>
  </si>
  <si>
    <t>Gołuchów (wiejska)</t>
  </si>
  <si>
    <t>Gostyń (miejsko-wiejska)</t>
  </si>
  <si>
    <t>Grabów nad Prosną (miejsko-wiejska)</t>
  </si>
  <si>
    <t>Granowo (wiejska)</t>
  </si>
  <si>
    <t>Grodziec (wiejska)</t>
  </si>
  <si>
    <t>Grodzisk Wielkopolski (miejsko-wiejska)</t>
  </si>
  <si>
    <t>Grzegorzew (wiejska)</t>
  </si>
  <si>
    <t>Jaraczewo (miejsko-wiejska)</t>
  </si>
  <si>
    <t>Jarocin (miejsko-wiejska)</t>
  </si>
  <si>
    <t>Jastrowie (miejsko-wiejska)</t>
  </si>
  <si>
    <t>Jutrosin (miejsko-wiejska)</t>
  </si>
  <si>
    <t>Kaczory (wiejska)</t>
  </si>
  <si>
    <t>M. Kalisz (miejska)</t>
  </si>
  <si>
    <t>Kamieniec (wiejska)</t>
  </si>
  <si>
    <t>Kawęczyn (wiejska)</t>
  </si>
  <si>
    <t>Kazimierz Biskupi (wiejska)</t>
  </si>
  <si>
    <t>Kaźmierz (wiejska)</t>
  </si>
  <si>
    <t>Kępno (miejsko-wiejska)</t>
  </si>
  <si>
    <t>Kiszkowo (wiejska)</t>
  </si>
  <si>
    <t>Kleczew (miejsko-wiejska)</t>
  </si>
  <si>
    <t>Kleszczewo (wiejska)</t>
  </si>
  <si>
    <t>Kłecko (miejsko-wiejska)</t>
  </si>
  <si>
    <t>Kłodawa (miejsko-wiejska)</t>
  </si>
  <si>
    <t>Kobyla Góra (wiejska)</t>
  </si>
  <si>
    <t>Kobylin (miejsko-wiejska)</t>
  </si>
  <si>
    <t>Kołaczkowo (wiejska)</t>
  </si>
  <si>
    <t>Koło (miejska)</t>
  </si>
  <si>
    <t>Koło (wiejska)</t>
  </si>
  <si>
    <t>Komorniki (wiejska)</t>
  </si>
  <si>
    <t>M. Konin (miejska)</t>
  </si>
  <si>
    <t>Kostrzyn (miejsko-wiejska)</t>
  </si>
  <si>
    <t>Kościan (miejska)</t>
  </si>
  <si>
    <t>Kościan (wiejska)</t>
  </si>
  <si>
    <t>Kościelec (wiejska)</t>
  </si>
  <si>
    <t>Kotlin (wiejska)</t>
  </si>
  <si>
    <t>Koźmin Wielkopolski (miejsko-wiejska)</t>
  </si>
  <si>
    <t>Koźminek (wiejska)</t>
  </si>
  <si>
    <t>Kórnik (miejsko-wiejska)</t>
  </si>
  <si>
    <t>Krajenka (miejsko-wiejska)</t>
  </si>
  <si>
    <t>Kramsk (wiejska)</t>
  </si>
  <si>
    <t>Kraszewice (wiejska)</t>
  </si>
  <si>
    <t>Krobia (miejsko-wiejska)</t>
  </si>
  <si>
    <t>Krotoszyn (miejsko-wiejska)</t>
  </si>
  <si>
    <t>Krzemieniewo (wiejska)</t>
  </si>
  <si>
    <t>Krzykosy (wiejska)</t>
  </si>
  <si>
    <t>Krzymów (wiejska)</t>
  </si>
  <si>
    <t>Krzywiń (miejsko-wiejska)</t>
  </si>
  <si>
    <t>Krzyż Wielkopolski (miejsko-wiejska)</t>
  </si>
  <si>
    <t>Książ Wielkopolski (miejsko-wiejska)</t>
  </si>
  <si>
    <t>Kuślin (wiejska)</t>
  </si>
  <si>
    <t>Kwilcz (wiejska)</t>
  </si>
  <si>
    <t>Lądek (wiejska)</t>
  </si>
  <si>
    <t>M. Leszno (miejska)</t>
  </si>
  <si>
    <t>Lipka (wiejska)</t>
  </si>
  <si>
    <t>Lipno (wiejska)</t>
  </si>
  <si>
    <t>Lisków (wiejska)</t>
  </si>
  <si>
    <t>Lubasz (wiejska)</t>
  </si>
  <si>
    <t>Luboń (miejska)</t>
  </si>
  <si>
    <t>Lwówek (miejsko-wiejska)</t>
  </si>
  <si>
    <t>Łęka Opatowska (wiejska)</t>
  </si>
  <si>
    <t>Łobżenica (miejsko-wiejska)</t>
  </si>
  <si>
    <t>Łubowo (wiejska)</t>
  </si>
  <si>
    <t>Malanów (wiejska)</t>
  </si>
  <si>
    <t>Margonin (miejsko-wiejska)</t>
  </si>
  <si>
    <t>Miasteczko Krajeńskie (wiejska)</t>
  </si>
  <si>
    <t>Miedzichowo (wiejska)</t>
  </si>
  <si>
    <t>Miejska Górka (miejsko-wiejska)</t>
  </si>
  <si>
    <t>Mieleszyn (wiejska)</t>
  </si>
  <si>
    <t>Mieścisko (wiejska)</t>
  </si>
  <si>
    <t>Międzychód (miejsko-wiejska)</t>
  </si>
  <si>
    <t>Mikstat (miejsko-wiejska)</t>
  </si>
  <si>
    <t>Miłosław (miejsko-wiejska)</t>
  </si>
  <si>
    <t>Mosina (miejsko-wiejska)</t>
  </si>
  <si>
    <t>Murowana Goślina (miejsko-wiejska)</t>
  </si>
  <si>
    <t>Mycielin (wiejska)</t>
  </si>
  <si>
    <t>Nekla (miejsko-wiejska)</t>
  </si>
  <si>
    <t>Niechanowo (wiejska)</t>
  </si>
  <si>
    <t>Nowe Miasto nad Wartą (wiejska)</t>
  </si>
  <si>
    <t>Nowe Skalmierzyce (miejsko-wiejska)</t>
  </si>
  <si>
    <t>Nowy Tomyśl (miejsko-wiejska)</t>
  </si>
  <si>
    <t>Oborniki (miejsko-wiejska)</t>
  </si>
  <si>
    <t>Obrzycko (miejska)</t>
  </si>
  <si>
    <t>Obrzycko (wiejska)</t>
  </si>
  <si>
    <t>Odolanów (miejsko-wiejska)</t>
  </si>
  <si>
    <t>Okonek (miejsko-wiejska)</t>
  </si>
  <si>
    <t>Olszówka (wiejska)</t>
  </si>
  <si>
    <t>Opalenica (miejsko-wiejska)</t>
  </si>
  <si>
    <t>Opatówek (miejsko-wiejska)</t>
  </si>
  <si>
    <t>Orchowo (wiejska)</t>
  </si>
  <si>
    <t>Osieczna (miejsko-wiejska)</t>
  </si>
  <si>
    <t>Osiek Mały (wiejska)</t>
  </si>
  <si>
    <t>Ostroróg (miejsko-wiejska)</t>
  </si>
  <si>
    <t>Ostrowite (wiejska)</t>
  </si>
  <si>
    <t>Ostrów Wielkopolski (miejska)</t>
  </si>
  <si>
    <t>Ostrów Wielkopolski (wiejska)</t>
  </si>
  <si>
    <t>Ostrzeszów (miejsko-wiejska)</t>
  </si>
  <si>
    <t>Pakosław (wiejska)</t>
  </si>
  <si>
    <t>Perzów (wiejska)</t>
  </si>
  <si>
    <t>Pępowo (wiejska)</t>
  </si>
  <si>
    <t>Piaski (wiejska)</t>
  </si>
  <si>
    <t>Piła (miejska)</t>
  </si>
  <si>
    <t>Pleszew (miejsko-wiejska)</t>
  </si>
  <si>
    <t>Pniewy (miejsko-wiejska)</t>
  </si>
  <si>
    <t>Pobiedziska (miejsko-wiejska)</t>
  </si>
  <si>
    <t>Pogorzela (miejsko-wiejska)</t>
  </si>
  <si>
    <t>Połajewo (wiejska)</t>
  </si>
  <si>
    <t>Poniec (miejsko-wiejska)</t>
  </si>
  <si>
    <t>Powidz (wiejska)</t>
  </si>
  <si>
    <t>M. Poznań (miejska)</t>
  </si>
  <si>
    <t>Przedecz (miejsko-wiejska)</t>
  </si>
  <si>
    <t>Przemęt (wiejska)</t>
  </si>
  <si>
    <t>Przygodzice (wiejska)</t>
  </si>
  <si>
    <t>Przykona (wiejska)</t>
  </si>
  <si>
    <t>Puszczykowo (miejska)</t>
  </si>
  <si>
    <t>Pyzdry (miejsko-wiejska)</t>
  </si>
  <si>
    <t>Rakoniewice (miejsko-wiejska)</t>
  </si>
  <si>
    <t>Raszków (miejsko-wiejska)</t>
  </si>
  <si>
    <t>Rawicz (miejsko-wiejska)</t>
  </si>
  <si>
    <t>Rogoźno (miejsko-wiejska)</t>
  </si>
  <si>
    <t>Rokietnica (wiejska)</t>
  </si>
  <si>
    <t>Rozdrażew (wiejska)</t>
  </si>
  <si>
    <t>Rychtal (wiejska)</t>
  </si>
  <si>
    <t>Rychwał (miejsko-wiejska)</t>
  </si>
  <si>
    <t>Ryczywół (wiejska)</t>
  </si>
  <si>
    <t>Rydzyna (miejsko-wiejska)</t>
  </si>
  <si>
    <t>Rzgów (wiejska)</t>
  </si>
  <si>
    <t>Siedlec (wiejska)</t>
  </si>
  <si>
    <t>Sieraków (miejsko-wiejska)</t>
  </si>
  <si>
    <t>Sieroszewice (wiejska)</t>
  </si>
  <si>
    <t>Skoki (miejsko-wiejska)</t>
  </si>
  <si>
    <t>Skulsk (wiejska)</t>
  </si>
  <si>
    <t>Słupca (miejska)</t>
  </si>
  <si>
    <t>Słupca (wiejska)</t>
  </si>
  <si>
    <t>Sompolno (miejsko-wiejska)</t>
  </si>
  <si>
    <t>Sośnie (wiejska)</t>
  </si>
  <si>
    <t>Stare Miasto (wiejska)</t>
  </si>
  <si>
    <t>Stawiszyn (miejsko-wiejska)</t>
  </si>
  <si>
    <t>Stęszew (miejsko-wiejska)</t>
  </si>
  <si>
    <t>Strzałkowo (wiejska)</t>
  </si>
  <si>
    <t>Suchy Las (wiejska)</t>
  </si>
  <si>
    <t>Sulmierzyce (miejska)</t>
  </si>
  <si>
    <t>Swarzędz (miejsko-wiejska)</t>
  </si>
  <si>
    <t>Szamocin (miejsko-wiejska)</t>
  </si>
  <si>
    <t>Szamotuły (miejsko-wiejska)</t>
  </si>
  <si>
    <t>Szczytniki (wiejska)</t>
  </si>
  <si>
    <t>Szydłowo (wiejska)</t>
  </si>
  <si>
    <t>Ślesin (miejsko-wiejska)</t>
  </si>
  <si>
    <t>Śmigiel (miejsko-wiejska)</t>
  </si>
  <si>
    <t>Śrem (miejsko-wiejska)</t>
  </si>
  <si>
    <t>Środa Wielkopolska (miejsko-wiejska)</t>
  </si>
  <si>
    <t>Święciechowa (wiejska)</t>
  </si>
  <si>
    <t>Tarnowo Podgórne (wiejska)</t>
  </si>
  <si>
    <t>Tarnówka (wiejska)</t>
  </si>
  <si>
    <t>Trzcianka (miejsko-wiejska)</t>
  </si>
  <si>
    <t>Trzcinica (wiejska)</t>
  </si>
  <si>
    <t>Trzemeszno (miejsko-wiejska)</t>
  </si>
  <si>
    <t>Tuliszków (miejsko-wiejska)</t>
  </si>
  <si>
    <t>Turek (miejska)</t>
  </si>
  <si>
    <t>Turek (wiejska)</t>
  </si>
  <si>
    <t>Ujście (miejsko-wiejska)</t>
  </si>
  <si>
    <t>Wapno (wiejska)</t>
  </si>
  <si>
    <t>Wągrowiec (miejska)</t>
  </si>
  <si>
    <t>Wągrowiec (wiejska)</t>
  </si>
  <si>
    <t>Wieleń (miejsko-wiejska)</t>
  </si>
  <si>
    <t>Wielichowo (miejsko-wiejska)</t>
  </si>
  <si>
    <t>Wierzbinek (wiejska)</t>
  </si>
  <si>
    <t>Wijewo (wiejska)</t>
  </si>
  <si>
    <t>Wilczyn (wiejska)</t>
  </si>
  <si>
    <t>Witkowo (miejsko-wiejska)</t>
  </si>
  <si>
    <t>Władysławów (wiejska)</t>
  </si>
  <si>
    <t>Włoszakowice (wiejska)</t>
  </si>
  <si>
    <t>Wolsztyn (miejsko-wiejska)</t>
  </si>
  <si>
    <t>Wronki (miejsko-wiejska)</t>
  </si>
  <si>
    <t>Września (miejsko-wiejska)</t>
  </si>
  <si>
    <t>Wyrzysk (miejsko-wiejska)</t>
  </si>
  <si>
    <t>Wysoka (miejsko-wiejska)</t>
  </si>
  <si>
    <t>Zagórów (miejsko-wiejska)</t>
  </si>
  <si>
    <t>Zakrzewo (wiejska)</t>
  </si>
  <si>
    <t>Zaniemyśl (wiejska)</t>
  </si>
  <si>
    <t>Zbąszyń (miejsko-wiejska)</t>
  </si>
  <si>
    <t>Zduny (miejsko-wiejska)</t>
  </si>
  <si>
    <t>Złotów (miejska)</t>
  </si>
  <si>
    <t>Złotów (wiejska)</t>
  </si>
  <si>
    <t>Żelazków (wiejska)</t>
  </si>
  <si>
    <t>Żerków (miejsko-wiejska</t>
  </si>
  <si>
    <t>chodzieski</t>
  </si>
  <si>
    <t>czarnkowsko-trzcianecki</t>
  </si>
  <si>
    <t>gnieźnieński</t>
  </si>
  <si>
    <t>gostyński</t>
  </si>
  <si>
    <t>grodziski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</si>
  <si>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</si>
  <si>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</si>
  <si>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</si>
  <si>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</si>
  <si>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</si>
  <si>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</si>
  <si>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</si>
  <si>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</si>
  <si>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</si>
  <si>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nowotomyski</t>
  </si>
  <si>
    <t>obornicki</t>
  </si>
  <si>
    <t>ostrowski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</si>
  <si>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</si>
  <si>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</si>
  <si>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</si>
  <si>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</si>
  <si>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</si>
  <si>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</si>
  <si>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</si>
  <si>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</si>
  <si>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</si>
  <si>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</si>
  <si>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</si>
  <si>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</si>
  <si>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</si>
  <si>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</si>
  <si>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M. Kalisz</t>
  </si>
  <si>
    <t>M. Konin</t>
  </si>
  <si>
    <t>M. Leszno</t>
  </si>
  <si>
    <t>M. Poznań</t>
  </si>
  <si>
    <r>
      <t xml:space="preserve">Koszt kwalifikowany
</t>
    </r>
    <r>
      <rPr>
        <sz val="12"/>
        <color theme="1"/>
        <rFont val="Arial"/>
        <family val="2"/>
        <charset val="238"/>
      </rPr>
      <t>(brutto)</t>
    </r>
  </si>
  <si>
    <t>Rok</t>
  </si>
  <si>
    <t>Miesiąc</t>
  </si>
  <si>
    <t>Inne załączniki - nieobowiązkowe:</t>
  </si>
  <si>
    <r>
      <t xml:space="preserve">Kwota
</t>
    </r>
    <r>
      <rPr>
        <sz val="14"/>
        <color theme="1"/>
        <rFont val="Arial"/>
        <family val="2"/>
        <charset val="238"/>
      </rPr>
      <t>(brutto)</t>
    </r>
  </si>
  <si>
    <t>Odrębną mapę poglądową umożliwiającą zlokalizowanie przedmiotu inwestycji w terenie, w szczególności względem innych dróg w okolicy wraz z zaznaczonymi elementami mającymi wpływ na ocenę merytoryczną wniosku, sporządzoną w skali oraz w sposób umożliwiający ich identyfikację i właściwą ocenę inwestycji</t>
  </si>
  <si>
    <r>
      <rPr>
        <b/>
        <sz val="14"/>
        <color theme="1"/>
        <rFont val="Arial"/>
        <family val="2"/>
        <charset val="238"/>
      </rPr>
      <t xml:space="preserve">KWALIFIKOWALNA WARTOŚĆ ZADANIA
</t>
    </r>
    <r>
      <rPr>
        <sz val="14"/>
        <color theme="1"/>
        <rFont val="Arial"/>
        <family val="2"/>
        <charset val="238"/>
      </rPr>
      <t>(zł)</t>
    </r>
  </si>
  <si>
    <t>VI.1. Opis stanu dotychczas istniejącego</t>
  </si>
  <si>
    <t>WIELKOPOLSKI URZĄD WOJEWÓDZKI - RZĄDOWY FUNDUSZ ROZWOJU DRÓG</t>
  </si>
  <si>
    <r>
      <t xml:space="preserve">Koszt niekwalifikowany
</t>
    </r>
    <r>
      <rPr>
        <sz val="12"/>
        <color theme="1"/>
        <rFont val="Arial"/>
        <family val="2"/>
        <charset val="238"/>
      </rPr>
      <t>(brutto)</t>
    </r>
  </si>
  <si>
    <r>
      <rPr>
        <b/>
        <sz val="20"/>
        <color theme="1"/>
        <rFont val="Arial"/>
        <family val="2"/>
        <charset val="238"/>
      </rPr>
      <t xml:space="preserve">Wojewoda Wielkopolski
Wydział Infrastruktury i Rolnictwa
</t>
    </r>
    <r>
      <rPr>
        <sz val="20"/>
        <color theme="1"/>
        <rFont val="Arial"/>
        <family val="2"/>
        <charset val="238"/>
      </rPr>
      <t>al. Niepodległości 16/18, 61-713 Poznań
rfrd@poznan.uw.gov.pl</t>
    </r>
  </si>
  <si>
    <r>
      <t xml:space="preserve">Przewidywany termin dokonywania wypłat na rzecz wykonawcy zadania
</t>
    </r>
    <r>
      <rPr>
        <sz val="14"/>
        <color theme="1"/>
        <rFont val="Arial"/>
        <family val="2"/>
        <charset val="238"/>
      </rPr>
      <t>(należy uwzględnić całkowity kwalifikowany koszt zadania)</t>
    </r>
  </si>
  <si>
    <t>potwierdza, iż przed podpisaniem umowy o dofinansowanie zadania zabezpieczy środki finansowe niezbędna na zapewnienie wkładu własnego w jego realizację;</t>
  </si>
  <si>
    <r>
      <t xml:space="preserve">V.1. Droga </t>
    </r>
    <r>
      <rPr>
        <sz val="14"/>
        <color theme="1"/>
        <rFont val="Arial"/>
        <family val="2"/>
        <charset val="238"/>
      </rPr>
      <t>(wypełnienie obligatoryjne)</t>
    </r>
  </si>
  <si>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</si>
  <si>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</si>
  <si>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</si>
  <si>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</si>
  <si>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</si>
  <si>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</si>
  <si>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</si>
  <si>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Długość odcinka (w km)</t>
  </si>
  <si>
    <t>Przystanki</t>
  </si>
  <si>
    <t>Okres realizacji zadania</t>
  </si>
  <si>
    <t>Kwalifikowalna wartośc zadania</t>
  </si>
  <si>
    <t>Wnioskowana kwota dofinansowania
 (w zł)</t>
  </si>
  <si>
    <t>Deklarowana kwota środków własnych (w zł)</t>
  </si>
  <si>
    <t>% dofinansowania</t>
  </si>
  <si>
    <t>Kwota dofinansowania w podziale na lata</t>
  </si>
  <si>
    <t>1.</t>
  </si>
  <si>
    <t>IR-VII.801.19.XXX.2020</t>
  </si>
  <si>
    <t>N</t>
  </si>
  <si>
    <t>Załącznik nr 2</t>
  </si>
  <si>
    <t>KARTA OCENY MERYTORYCZNEJ WNIOSKU O DOFINANSOWANIE  W RAMACH FUNDUSZU</t>
  </si>
  <si>
    <t>Nr ewidencyjny wniosku:</t>
  </si>
  <si>
    <t xml:space="preserve">Nazwa zadania: </t>
  </si>
  <si>
    <t>Nazwa Wnioskodawcy:</t>
  </si>
  <si>
    <t>Wyrównanie potencjału społeczno-gospodarczego</t>
  </si>
  <si>
    <t>1.1.</t>
  </si>
  <si>
    <t>Zapewnienie spójności sieci dróg publicznych</t>
  </si>
  <si>
    <t>1.1.1.</t>
  </si>
  <si>
    <t>Powiązania z drogami wyższego rzędu</t>
  </si>
  <si>
    <t>z droga krajową</t>
  </si>
  <si>
    <t>z drogą wojewódzką</t>
  </si>
  <si>
    <t>z drogą powiatową</t>
  </si>
  <si>
    <t>1.1.2.</t>
  </si>
  <si>
    <t>Obiekty inżynieryjne</t>
  </si>
  <si>
    <t>mosty/wiadukty</t>
  </si>
  <si>
    <t>1.2.</t>
  </si>
  <si>
    <t>Zwiększenie dostępności transportowej jednostek administracyjnych</t>
  </si>
  <si>
    <t>1.2.1.</t>
  </si>
  <si>
    <t>Współczynnik peryferyjności czasowej w odniesieniu do syntetycznego wskaźnika peryferyjności czasowej gmin i powiatów</t>
  </si>
  <si>
    <t>1.2.2.</t>
  </si>
  <si>
    <t>przystanki</t>
  </si>
  <si>
    <t>przystanki wyposażone w perony</t>
  </si>
  <si>
    <t>1.2.3.</t>
  </si>
  <si>
    <t>Wpływ na funkcjonowanie służb ochrony przeciwpożarowej, ratownictwa, zarządzania kryzysowego, ochrony granic państwa (odcinki kluczowe dla zwiększenia szybkości reagowania służb ratowniczych, Policji, przeciwpożarowych)</t>
  </si>
  <si>
    <t>1.2.4.</t>
  </si>
  <si>
    <t>Wpływ na zwiększenie dostępności placówek edukacyjnych</t>
  </si>
  <si>
    <t>1.2.5.</t>
  </si>
  <si>
    <t>Wpływ na zwiększenie dostępności instytucji administracji publicznej</t>
  </si>
  <si>
    <t>1.2.6.</t>
  </si>
  <si>
    <t>Wpływ na zwiększenie dostępniości obiektów związanych z obronnością państwa</t>
  </si>
  <si>
    <t>1.2.7.</t>
  </si>
  <si>
    <t>Wpływ na zwiększenie dostępności instytucji z zakresu ochrony zdrowia</t>
  </si>
  <si>
    <t>1.2.8.</t>
  </si>
  <si>
    <t>Zadanie obejmuje drogę, po której odbywa się transport zbiorowy</t>
  </si>
  <si>
    <t>1.3.</t>
  </si>
  <si>
    <t>Wpływ na poprawę dostęności terenów inwestycyjnych (zakładów pracy, przedsiębiorstw i innych istotnych obiektów)</t>
  </si>
  <si>
    <t xml:space="preserve">1.4. </t>
  </si>
  <si>
    <t>Inwestycja zrealizowana na terenie wiejskim</t>
  </si>
  <si>
    <t>1.5.</t>
  </si>
  <si>
    <t>Miasta średnie tracące funkcje społeczno-gospodarcze</t>
  </si>
  <si>
    <t>1.6.</t>
  </si>
  <si>
    <t>Obszary zagrożone trwałą marginalizacją - kumulacja problemów rozwojowych</t>
  </si>
  <si>
    <t>1.7.</t>
  </si>
  <si>
    <t>Sytuacja budżetowa JST, w tym w szczególności w zakresie poziomu zadłużenia oraz wydatków inwestycyjnych na tle średnich wydatków JST danego szczebla</t>
  </si>
  <si>
    <t>1.8.</t>
  </si>
  <si>
    <t>Wyposażenie w infrastrukturę - odsetek ludności korzystający z infrastruktury technicznej na tle JST danego szczebla</t>
  </si>
  <si>
    <t>1.9.</t>
  </si>
  <si>
    <r>
      <t>Drogi publiczne o twardej nawierzchni na 100 km</t>
    </r>
    <r>
      <rPr>
        <b/>
        <sz val="10"/>
        <rFont val="Czcionka tekstu podstawowego"/>
        <charset val="238"/>
      </rPr>
      <t>²</t>
    </r>
    <r>
      <rPr>
        <b/>
        <sz val="10"/>
        <rFont val="Arial"/>
        <family val="2"/>
        <charset val="238"/>
      </rPr>
      <t>na tle JST danego szczebla</t>
    </r>
  </si>
  <si>
    <t>1.10.</t>
  </si>
  <si>
    <t>Współczynnik dochodu własnego JST</t>
  </si>
  <si>
    <t xml:space="preserve"> 8 powiaty
12 gminy</t>
  </si>
  <si>
    <t xml:space="preserve">1.11. </t>
  </si>
  <si>
    <t>Komplementarność zadania ze Strategią na rzecz Odpowiedzialnego Rozwoju lub/i wdrażanymi programami rządowymi</t>
  </si>
  <si>
    <t>2.</t>
  </si>
  <si>
    <t>Poprawa jakości życia mieszkańców i zapewnienie spójności terytorialnej na obszarze województwa</t>
  </si>
  <si>
    <t>2.1.</t>
  </si>
  <si>
    <t>Poprawa stanu bezpieczeństwa ruchu drogowego</t>
  </si>
  <si>
    <t>2.1.1.</t>
  </si>
  <si>
    <t xml:space="preserve">Chodnik </t>
  </si>
  <si>
    <t>2.1.2.</t>
  </si>
  <si>
    <t>Droga rowerowa</t>
  </si>
  <si>
    <t>jednokierunkowa/dwukierunkowa</t>
  </si>
  <si>
    <t>po jezdni po pasie ruchu dla rowerów</t>
  </si>
  <si>
    <t>2.1.3.</t>
  </si>
  <si>
    <t>Droga pieszo - rowerowa</t>
  </si>
  <si>
    <t>2.1.4.</t>
  </si>
  <si>
    <t>Rozwiązania specjalne w zakresie brd</t>
  </si>
  <si>
    <t>2.1.5.</t>
  </si>
  <si>
    <t>Ryzyko społeczne zagrożeń wypadkami drogowymi (LOSiCR)</t>
  </si>
  <si>
    <t>bardzo duże</t>
  </si>
  <si>
    <t xml:space="preserve">duże </t>
  </si>
  <si>
    <t>średnie</t>
  </si>
  <si>
    <t>małe</t>
  </si>
  <si>
    <t>bardzo małe</t>
  </si>
  <si>
    <t>2.2.</t>
  </si>
  <si>
    <t>Podnoszenie standardów technicznych dróg oraz zachowanie jednorodności sieci drogowej pod względem spełniania tych standardów</t>
  </si>
  <si>
    <t>Odwodnienie</t>
  </si>
  <si>
    <t>SUMA</t>
  </si>
  <si>
    <t>Peryferyjność czasowa</t>
  </si>
  <si>
    <t>Pakiet dla miast średnich</t>
  </si>
  <si>
    <t>PDW</t>
  </si>
  <si>
    <t>Ryzyko zagrożeń wypadkami drogowymi</t>
  </si>
  <si>
    <t>POWIAT</t>
  </si>
  <si>
    <t>M.Konin</t>
  </si>
  <si>
    <t xml:space="preserve">niższy lub równy 10% </t>
  </si>
  <si>
    <t>m. Poznań</t>
  </si>
  <si>
    <t>Konin</t>
  </si>
  <si>
    <t>10,1% - 20%</t>
  </si>
  <si>
    <t>20,1% - 30%</t>
  </si>
  <si>
    <t>30,1% - 40%</t>
  </si>
  <si>
    <t>Złotów</t>
  </si>
  <si>
    <t>40,1% - 50%</t>
  </si>
  <si>
    <t>Turek</t>
  </si>
  <si>
    <t>50,1% - 60%</t>
  </si>
  <si>
    <t>m. Kalisz</t>
  </si>
  <si>
    <t>60,1% - 70%</t>
  </si>
  <si>
    <t>Piła</t>
  </si>
  <si>
    <t>70,1% - 100%</t>
  </si>
  <si>
    <t>Gniezno</t>
  </si>
  <si>
    <t>100,1% i więcej</t>
  </si>
  <si>
    <t>m. Leszno</t>
  </si>
  <si>
    <t>Pleszew</t>
  </si>
  <si>
    <t>Koło</t>
  </si>
  <si>
    <t>Kalisz</t>
  </si>
  <si>
    <t>m. Konin</t>
  </si>
  <si>
    <t>teryt</t>
  </si>
  <si>
    <t>Dochody własne</t>
  </si>
  <si>
    <t>Subwencja ogólna</t>
  </si>
  <si>
    <t>w tym część:</t>
  </si>
  <si>
    <t>liczba mieszkańców ogółem</t>
  </si>
  <si>
    <t>wpłaty na część równoważacą</t>
  </si>
  <si>
    <t>w skali kraju</t>
  </si>
  <si>
    <t>w skali województwa</t>
  </si>
  <si>
    <t>DW JST</t>
  </si>
  <si>
    <t>DW/śD</t>
  </si>
  <si>
    <t>DW/liczba mieszkańców</t>
  </si>
  <si>
    <t>% WLKP ŚDW</t>
  </si>
  <si>
    <t>razem</t>
  </si>
  <si>
    <t>wyrównawcza</t>
  </si>
  <si>
    <t>oświatowa</t>
  </si>
  <si>
    <t>równoważąca</t>
  </si>
  <si>
    <t>róznica subwencji</t>
  </si>
  <si>
    <t>ogółem wlkp</t>
  </si>
  <si>
    <t xml:space="preserve"> Chodzieski</t>
  </si>
  <si>
    <t>Gnieźnieński</t>
  </si>
  <si>
    <t>Gostyński</t>
  </si>
  <si>
    <t>Grodziski</t>
  </si>
  <si>
    <t>Jarociński</t>
  </si>
  <si>
    <t xml:space="preserve"> Kaliski</t>
  </si>
  <si>
    <t>Kępiński</t>
  </si>
  <si>
    <t xml:space="preserve"> Kolski</t>
  </si>
  <si>
    <t>Koniński</t>
  </si>
  <si>
    <t xml:space="preserve"> Kościański</t>
  </si>
  <si>
    <t xml:space="preserve"> Krotoszyński</t>
  </si>
  <si>
    <t xml:space="preserve"> Leszczyński</t>
  </si>
  <si>
    <t xml:space="preserve"> Nowotomyski</t>
  </si>
  <si>
    <t>Ostrowski</t>
  </si>
  <si>
    <t>Ostrzeszowski</t>
  </si>
  <si>
    <t xml:space="preserve"> Pilski</t>
  </si>
  <si>
    <t xml:space="preserve"> Pleszewski</t>
  </si>
  <si>
    <t xml:space="preserve"> Poznański</t>
  </si>
  <si>
    <t xml:space="preserve"> Rawicki</t>
  </si>
  <si>
    <t xml:space="preserve"> Słupecki</t>
  </si>
  <si>
    <t xml:space="preserve"> Szamotulski</t>
  </si>
  <si>
    <t xml:space="preserve"> Średzki</t>
  </si>
  <si>
    <r>
      <rPr>
        <sz val="14"/>
        <rFont val="Arial"/>
        <family val="2"/>
        <charset val="238"/>
      </rPr>
      <t>Ś</t>
    </r>
    <r>
      <rPr>
        <sz val="14"/>
        <color rgb="FF000000"/>
        <rFont val="Arial"/>
        <family val="2"/>
        <charset val="238"/>
      </rPr>
      <t>remski</t>
    </r>
  </si>
  <si>
    <t xml:space="preserve"> Turecki</t>
  </si>
  <si>
    <t xml:space="preserve"> Wągrowiecki</t>
  </si>
  <si>
    <t>Wolsztyński</t>
  </si>
  <si>
    <t>Wrzesiński</t>
  </si>
  <si>
    <t>Złotowski</t>
  </si>
  <si>
    <t>TERYT</t>
  </si>
  <si>
    <t>wpłaty na część równoważącą</t>
  </si>
  <si>
    <t>różnica subwencji</t>
  </si>
  <si>
    <t>ogółem Wlkp</t>
  </si>
  <si>
    <t>Miasto Kalisz</t>
  </si>
  <si>
    <t>Miasto Konin</t>
  </si>
  <si>
    <t>Miasto Leszno</t>
  </si>
  <si>
    <t>SUMA PUNKTÓW:</t>
  </si>
  <si>
    <t>1.Wyrównanie potencjału społeczno-gospodarczego</t>
  </si>
  <si>
    <t>2. Poprawa jakości życia mieszkańców i zapewnienie spójności terytorialnej na obszarze województwa</t>
  </si>
  <si>
    <t>1.1.Zapewnienie spójności sieci dróg publicznych</t>
  </si>
  <si>
    <t>1.2.Zwiększenie dostępności transportowej jednostek administracyjnych</t>
  </si>
  <si>
    <t>1.3.Wpływ na poprawę dostęności terenów inwestycyjnych (zakładów pracy, przedsiębiorstw i innych istotnych obiektów)</t>
  </si>
  <si>
    <t>1.4.Inwestycja zrealizowana na terenie wiejskim</t>
  </si>
  <si>
    <t>1.5.Miasta średnie tracące funkcje społeczno-gospodarcze</t>
  </si>
  <si>
    <t>1.6.Obszary zagrożone trwałą marginalizacją - kumulacja problemów rozwojowych</t>
  </si>
  <si>
    <t>1.7.Sytuacja budżetowa JST, w tym w szczególności w zakresie poziomu zadłużenia oraz wydatków inwestycyjnych na tle średnich wydatków JST danego szczebla</t>
  </si>
  <si>
    <t>1.8.Wyposażenie w infrastrukturę - odsetek ludności korzystający z infrastruktury technicznej na tle JST danego szczebla</t>
  </si>
  <si>
    <t>1.9.Drogi publiczne o twardej nawierzchni na 100 km²na tle JST danego szczebla</t>
  </si>
  <si>
    <t>1.10.Współczynnik dochodu własnego JST</t>
  </si>
  <si>
    <t>1.11.Komplementarność zadania ze Strategią na rzecz Odpowiedzialnego Rozwoju lub/i wdrażanymi programami rządowymi</t>
  </si>
  <si>
    <t>2.1.Poprawa stanu bezpieczeństwa ruchu drogowego</t>
  </si>
  <si>
    <t>Podpisy członków Komisji: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</si>
  <si>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</si>
  <si>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</si>
  <si>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</si>
  <si>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</si>
  <si>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</si>
  <si>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>2.3.</t>
  </si>
  <si>
    <t>2.2.Odwodnienie</t>
  </si>
  <si>
    <t>2.3.Podnoszenie standardów technicznych dróg oraz zachowanie jednorodności sieci drogowej pod względem spełniania tych standardów</t>
  </si>
  <si>
    <t>WNIOSEK O DOFINANSOWANIE Z RZĄDOWEGO FUNDUSZU ROZWOJU DRÓG - REMONT</t>
  </si>
  <si>
    <t>Długość remontowanego odcinka jezdni (w km)</t>
  </si>
  <si>
    <t>Długość remontowanego odcinka chodnika (w km)</t>
  </si>
  <si>
    <t>Długość remontowanego odcinka drogi pieszo-rowerowej (w km)</t>
  </si>
  <si>
    <r>
      <rPr>
        <b/>
        <sz val="14"/>
        <color theme="1"/>
        <rFont val="Arial"/>
        <family val="2"/>
        <charset val="238"/>
      </rPr>
      <t>ELEMENTY ROBÓT</t>
    </r>
    <r>
      <rPr>
        <sz val="14"/>
        <color theme="1"/>
        <rFont val="Arial"/>
        <family val="2"/>
        <charset val="238"/>
      </rPr>
      <t xml:space="preserve">  (zgodnie z pozycjami głównymi tabeli elementów scalonych kosztorysów)</t>
    </r>
  </si>
  <si>
    <r>
      <t xml:space="preserve">TERMIN REALIZACJI
</t>
    </r>
    <r>
      <rPr>
        <b/>
        <sz val="12"/>
        <color theme="1"/>
        <rFont val="Arial"/>
        <family val="2"/>
        <charset val="238"/>
      </rPr>
      <t>(w miesiącach w formacie mm.rrrr)</t>
    </r>
    <r>
      <rPr>
        <sz val="12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(termin nie może przekraczać 12 miesięcy)</t>
    </r>
  </si>
  <si>
    <t>jezdni</t>
  </si>
  <si>
    <t>SUMA km:</t>
  </si>
  <si>
    <t>nr drogi publicznej</t>
  </si>
  <si>
    <t>VI.2. Opis stanu projektowanego</t>
  </si>
  <si>
    <r>
      <t xml:space="preserve">VI. Opis zadania 
</t>
    </r>
    <r>
      <rPr>
        <sz val="14"/>
        <color theme="1"/>
        <rFont val="Arial"/>
        <family val="2"/>
        <charset val="238"/>
      </rPr>
      <t xml:space="preserve">(informacje mające wpływ na ocenę w zakresie: poprawy stanu bezpieczeństwa ruchu drogowego, ze szczególnym uwzględnieniem bezpieczeństwa ruchu drogowego niechronionych uczestników ruchu; zapewnienia spójności sieci dróg publicznych; poprawę dostępności transportowej jednostek administracyjnych; poprawę dostępności terenów inwestycyjnych; poprawy dostępności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- </t>
    </r>
    <r>
      <rPr>
        <b/>
        <sz val="14"/>
        <color theme="1"/>
        <rFont val="Arial"/>
        <family val="2"/>
        <charset val="238"/>
      </rPr>
      <t>nie należy powielać tego samego opisu w kolejnych podpunktach</t>
    </r>
    <r>
      <rPr>
        <sz val="14"/>
        <color theme="1"/>
        <rFont val="Arial"/>
        <family val="2"/>
        <charset val="238"/>
      </rPr>
      <t>).</t>
    </r>
  </si>
  <si>
    <r>
      <t xml:space="preserve">VII. Cel zadania 
</t>
    </r>
    <r>
      <rPr>
        <sz val="14"/>
        <color theme="1"/>
        <rFont val="Arial"/>
        <family val="2"/>
        <charset val="238"/>
      </rPr>
      <t>(informacje mające wpływ na ocenę w zakresie: poprawy stanu bezpieczeństwa ruchu drogowego, ze szczególnym uwzględnieniem bezpieczeństwa ruchu drogowego niechronionych uczestników ruchu; zapewnienia spójności sieci dróg publicznych; poprawę dostępności transportowej jednostek administracyjnych; poprawę dostępności terenów inwestycyjnych; poprawy dostępności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pomieszczeń).</t>
    </r>
  </si>
  <si>
    <r>
      <t xml:space="preserve">kolektora kanalizacji deszczowej
</t>
    </r>
    <r>
      <rPr>
        <sz val="14"/>
        <color theme="1"/>
        <rFont val="Arial"/>
        <family val="2"/>
        <charset val="238"/>
      </rPr>
      <t>(w km)</t>
    </r>
  </si>
  <si>
    <r>
      <t xml:space="preserve">rowu/rowów
</t>
    </r>
    <r>
      <rPr>
        <sz val="14"/>
        <color theme="1"/>
        <rFont val="Arial"/>
        <family val="2"/>
        <charset val="238"/>
      </rPr>
      <t>(w km)</t>
    </r>
  </si>
  <si>
    <t>TERC wnioskodawcy</t>
  </si>
  <si>
    <r>
      <rPr>
        <b/>
        <sz val="18"/>
        <color theme="1"/>
        <rFont val="Arial"/>
        <family val="2"/>
        <charset val="238"/>
      </rPr>
      <t>II. Nazwa zadania</t>
    </r>
    <r>
      <rPr>
        <sz val="14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tytuł jednoznacznie wskazuje rodzaj wykonywanych robót: remont</t>
    </r>
  </si>
  <si>
    <r>
      <t xml:space="preserve">CAŁKOWITA WARTOŚĆ ZADANIA
</t>
    </r>
    <r>
      <rPr>
        <sz val="14"/>
        <color theme="1"/>
        <rFont val="Arial"/>
        <family val="2"/>
        <charset val="238"/>
      </rPr>
      <t>(zł)</t>
    </r>
  </si>
  <si>
    <t>zostały dopełnione wszystkie wymogi prawne, związane z planowaną realizacją inwestycji, wymagane przepisami w szczególności prawa budowlanego, o ochronie środowiska, pozwoleniach, uzgodnieniach, opiniach i ocenach  oraz wnioskodawca posiada kompletną dokumentację techniczną, projektową oraz projekt organizacji ruchu związane z planowaną do realizacji inwestycją.</t>
  </si>
  <si>
    <t>Wnioskodawca oświadcza, że:</t>
  </si>
  <si>
    <t>Łączna długość remontowanego odcinka (w km; gdzie 100 m to 0,100 km):</t>
  </si>
  <si>
    <r>
      <t xml:space="preserve">drogi rowerowej
</t>
    </r>
    <r>
      <rPr>
        <sz val="11"/>
        <color theme="1"/>
        <rFont val="Arial"/>
        <family val="2"/>
        <charset val="238"/>
      </rPr>
      <t>liczonej jako suma długości drogi rowerowej po obydwu stronach odcinka jezdni</t>
    </r>
  </si>
  <si>
    <r>
      <t xml:space="preserve">chodnika
</t>
    </r>
    <r>
      <rPr>
        <sz val="11"/>
        <color theme="1"/>
        <rFont val="Arial"/>
        <family val="2"/>
        <charset val="238"/>
      </rPr>
      <t>liczonego jako suma długości chodnika po obydwu stronach odcinka jezdni</t>
    </r>
  </si>
  <si>
    <r>
      <t xml:space="preserve">drogi pieszo-rowerowej 
</t>
    </r>
    <r>
      <rPr>
        <sz val="11"/>
        <color theme="1"/>
        <rFont val="Arial"/>
        <family val="2"/>
        <charset val="238"/>
      </rPr>
      <t>liczonej jako suma długości drogi pieszo-rowerowej po obydwu stronach odcinka jezdni</t>
    </r>
  </si>
  <si>
    <t>Długość remontowanego odcinka drogi rowerowej  (w km)</t>
  </si>
  <si>
    <t>Jeżeli z daty wydania zgłoszenia wynika, iż wygasa ono przed planowym terminem rozpoczęcia zadania, należy dołączyć kopię dokumentu potwierdzającego aktualność zgłoszenia</t>
  </si>
  <si>
    <t xml:space="preserve">kilometraż 
</t>
  </si>
  <si>
    <r>
      <t xml:space="preserve">od                      </t>
    </r>
    <r>
      <rPr>
        <sz val="14"/>
        <color theme="1"/>
        <rFont val="Arial"/>
        <family val="2"/>
        <charset val="238"/>
      </rPr>
      <t>(w formacie 0+000)</t>
    </r>
  </si>
  <si>
    <r>
      <t xml:space="preserve">do                     </t>
    </r>
    <r>
      <rPr>
        <sz val="14"/>
        <color theme="1"/>
        <rFont val="Arial"/>
        <family val="2"/>
        <charset val="238"/>
      </rPr>
      <t>(w formacie 0+000)</t>
    </r>
  </si>
  <si>
    <t>Na podstawie ustawy z dnia 23 października 2018 r. o Rządowym Funduszu Rozwoju Dróg wnoszę o udzielenie dofinansowania zadania</t>
  </si>
  <si>
    <t xml:space="preserve">zgodnie z zapisami § 2 ust. 2 rozporządzenia Ministra Infrastruktury z dnia 16 lutego 2005 r. w sprawie trybu sporządzania informacji oraz gromadzenia i udostępniania danych o sieci dróg publicznych, obiektach mostowych, tunelach oraz promach 
(Dz. U. z 2005 r. nr 67, poz. 583) sporządzono oraz przekazano do Generalnego Dyrektora Dróg Krajowych i Autostrad informacje dla celów statystycznych o sieci dróg publicznych. Dane o sieci dróg przedstawiono według stanu na dzień 31 grudnia roku poprzedniego. </t>
  </si>
  <si>
    <r>
      <t xml:space="preserve">V. Część techniczna – dane podstawowe drogi podlegającej realizacji w ramach zadania, </t>
    </r>
    <r>
      <rPr>
        <b/>
        <u/>
        <sz val="18"/>
        <color theme="1"/>
        <rFont val="Arial"/>
        <family val="2"/>
        <charset val="238"/>
      </rPr>
      <t>na której  prowadzony jest remont (wyłącznie w zakresie istniejących elementów drogi)</t>
    </r>
    <r>
      <rPr>
        <b/>
        <sz val="18"/>
        <color theme="1"/>
        <rFont val="Arial"/>
        <family val="2"/>
        <charset val="238"/>
      </rPr>
      <t xml:space="preserve"> - w zakresie pasa drogowego, w km</t>
    </r>
  </si>
  <si>
    <t>V.2. Odwodnienie</t>
  </si>
  <si>
    <t>V.3. Przystanki autobusowe</t>
  </si>
  <si>
    <t xml:space="preserve">VIII. </t>
  </si>
  <si>
    <r>
      <t xml:space="preserve">Planowane do realizacji zadanie znajduje się w:
1) obszarze objętym szczególnymi zasadami gospodarowania nieruchomościami, planowania i zagospodarowania przestrzennego oraz realizacji inwestycji, określonym w przepisach wydanych na podstawie art. 28 ust. 1 ustawy z dnia 10 maja 2018 r. o Centralnym </t>
    </r>
    <r>
      <rPr>
        <i/>
        <sz val="14"/>
        <color theme="1"/>
        <rFont val="Arial"/>
        <family val="2"/>
        <charset val="238"/>
      </rPr>
      <t>Porcie</t>
    </r>
    <r>
      <rPr>
        <sz val="14"/>
        <color theme="1"/>
        <rFont val="Arial"/>
        <family val="2"/>
        <charset val="238"/>
      </rPr>
      <t xml:space="preserve"> Komunikacyjnym 
(Dz. U. z 2021 r. poz. 1354 oraz z 2022 r. poz. 807, 1079, 1390 i 1846),
2) obszarze objętym strategią rozwoju, o której mowa w dziale IVb ustawy z dnia 10 maja 2018 r. o Centralnym Porcie Komunikacyjnym</t>
    </r>
  </si>
  <si>
    <t>IX. W załączeniu przedkładam:</t>
  </si>
  <si>
    <t>X. Oświadczenia wnioskodawcy:</t>
  </si>
  <si>
    <t>TAK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</si>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</sst>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\+000"/>
    <numFmt numFmtId="166" formatCode="mm/yyyy"/>
  </numFmts>
  <fonts count="52"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22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4"/>
      <color theme="0"/>
      <name val="Arial"/>
      <family val="2"/>
      <charset val="238"/>
    </font>
    <font>
      <sz val="1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b/>
      <u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6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Czcionka tekstu podstawowego"/>
      <charset val="238"/>
    </font>
    <font>
      <b/>
      <sz val="1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name val="Arial CE"/>
      <charset val="238"/>
    </font>
    <font>
      <sz val="20"/>
      <color theme="1"/>
      <name val="Calibri"/>
      <family val="2"/>
      <charset val="238"/>
      <scheme val="minor"/>
    </font>
    <font>
      <sz val="20"/>
      <color theme="1"/>
      <name val="Times New Roman"/>
      <family val="1"/>
      <charset val="238"/>
    </font>
    <font>
      <sz val="14"/>
      <color rgb="FF000000"/>
      <name val="Arial"/>
      <family val="2"/>
      <charset val="238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0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14"/>
      <color theme="1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C5E0B4"/>
      </patternFill>
    </fill>
    <fill>
      <patternFill patternType="solid">
        <fgColor rgb="FFC5E0B4"/>
        <bgColor rgb="FFCC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33" fillId="0" borderId="0"/>
    <xf numFmtId="0" fontId="25" fillId="0" borderId="0"/>
    <xf numFmtId="0" fontId="38" fillId="0" borderId="0"/>
    <xf numFmtId="9" fontId="25" fillId="0" borderId="0" applyBorder="0" applyProtection="0"/>
  </cellStyleXfs>
  <cellXfs count="405">
    <xf numFmtId="0" fontId="0" fillId="0" borderId="0" xfId="0"/>
    <xf numFmtId="0" fontId="16" fillId="0" borderId="1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4" fontId="1" fillId="2" borderId="6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14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indent="5"/>
    </xf>
    <xf numFmtId="0" fontId="16" fillId="0" borderId="0" xfId="0" applyFont="1"/>
    <xf numFmtId="2" fontId="11" fillId="0" borderId="0" xfId="0" applyNumberFormat="1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" fontId="9" fillId="0" borderId="6" xfId="0" applyNumberFormat="1" applyFont="1" applyBorder="1" applyAlignment="1">
      <alignment vertical="center"/>
    </xf>
    <xf numFmtId="0" fontId="17" fillId="0" borderId="0" xfId="0" applyFont="1"/>
    <xf numFmtId="0" fontId="1" fillId="2" borderId="1" xfId="0" applyFont="1" applyFill="1" applyBorder="1" applyAlignment="1" applyProtection="1">
      <alignment vertical="center" wrapText="1"/>
      <protection locked="0"/>
    </xf>
    <xf numFmtId="2" fontId="1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" fontId="9" fillId="0" borderId="1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21" fillId="6" borderId="28" xfId="0" applyFont="1" applyFill="1" applyBorder="1" applyAlignment="1">
      <alignment horizontal="center" vertical="center" wrapText="1"/>
    </xf>
    <xf numFmtId="0" fontId="21" fillId="0" borderId="28" xfId="0" applyFont="1" applyBorder="1" applyAlignment="1">
      <alignment vertical="center" wrapText="1"/>
    </xf>
    <xf numFmtId="0" fontId="21" fillId="0" borderId="28" xfId="0" applyFont="1" applyBorder="1" applyAlignment="1">
      <alignment horizontal="center" vertical="center" wrapText="1"/>
    </xf>
    <xf numFmtId="4" fontId="22" fillId="0" borderId="28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49" fontId="25" fillId="0" borderId="0" xfId="0" applyNumberFormat="1" applyFont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9" fontId="27" fillId="0" borderId="1" xfId="0" applyNumberFormat="1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/>
    </xf>
    <xf numFmtId="1" fontId="27" fillId="9" borderId="1" xfId="0" applyNumberFormat="1" applyFont="1" applyFill="1" applyBorder="1" applyAlignment="1">
      <alignment horizontal="center" vertical="center"/>
    </xf>
    <xf numFmtId="0" fontId="25" fillId="10" borderId="0" xfId="0" applyFont="1" applyFill="1" applyAlignment="1">
      <alignment vertical="top"/>
    </xf>
    <xf numFmtId="0" fontId="25" fillId="11" borderId="0" xfId="0" applyFont="1" applyFill="1" applyAlignment="1">
      <alignment vertical="top"/>
    </xf>
    <xf numFmtId="0" fontId="27" fillId="12" borderId="1" xfId="0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5" fillId="13" borderId="0" xfId="0" applyFont="1" applyFill="1" applyAlignment="1">
      <alignment vertical="top"/>
    </xf>
    <xf numFmtId="0" fontId="25" fillId="14" borderId="0" xfId="0" applyFont="1" applyFill="1" applyAlignment="1">
      <alignment vertical="top"/>
    </xf>
    <xf numFmtId="0" fontId="25" fillId="0" borderId="2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5" fillId="0" borderId="5" xfId="0" applyFont="1" applyBorder="1" applyAlignment="1">
      <alignment horizontal="center" vertical="center"/>
    </xf>
    <xf numFmtId="0" fontId="27" fillId="12" borderId="5" xfId="0" applyFont="1" applyFill="1" applyBorder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2" fontId="27" fillId="9" borderId="4" xfId="0" applyNumberFormat="1" applyFont="1" applyFill="1" applyBorder="1" applyAlignment="1">
      <alignment vertical="center"/>
    </xf>
    <xf numFmtId="0" fontId="25" fillId="9" borderId="0" xfId="0" applyFont="1" applyFill="1" applyAlignment="1">
      <alignment vertical="top"/>
    </xf>
    <xf numFmtId="2" fontId="27" fillId="9" borderId="1" xfId="0" applyNumberFormat="1" applyFont="1" applyFill="1" applyBorder="1" applyAlignment="1">
      <alignment horizontal="right" vertical="center"/>
    </xf>
    <xf numFmtId="2" fontId="27" fillId="9" borderId="4" xfId="0" applyNumberFormat="1" applyFont="1" applyFill="1" applyBorder="1" applyAlignment="1">
      <alignment horizontal="right" vertical="center"/>
    </xf>
    <xf numFmtId="1" fontId="27" fillId="9" borderId="4" xfId="0" applyNumberFormat="1" applyFont="1" applyFill="1" applyBorder="1" applyAlignment="1">
      <alignment horizontal="right" vertical="center"/>
    </xf>
    <xf numFmtId="1" fontId="25" fillId="9" borderId="0" xfId="0" applyNumberFormat="1" applyFont="1" applyFill="1" applyAlignment="1">
      <alignment vertical="top"/>
    </xf>
    <xf numFmtId="2" fontId="27" fillId="9" borderId="1" xfId="0" applyNumberFormat="1" applyFont="1" applyFill="1" applyBorder="1" applyAlignment="1">
      <alignment vertical="center"/>
    </xf>
    <xf numFmtId="0" fontId="30" fillId="8" borderId="4" xfId="0" applyFont="1" applyFill="1" applyBorder="1" applyAlignment="1">
      <alignment horizontal="center" vertical="center"/>
    </xf>
    <xf numFmtId="0" fontId="31" fillId="0" borderId="0" xfId="0" applyFont="1"/>
    <xf numFmtId="0" fontId="24" fillId="0" borderId="0" xfId="0" applyFont="1"/>
    <xf numFmtId="0" fontId="32" fillId="0" borderId="0" xfId="0" applyFont="1"/>
    <xf numFmtId="0" fontId="31" fillId="0" borderId="0" xfId="0" applyFont="1" applyAlignment="1">
      <alignment horizontal="justify" vertical="center"/>
    </xf>
    <xf numFmtId="0" fontId="34" fillId="15" borderId="1" xfId="1" applyFont="1" applyFill="1" applyBorder="1" applyAlignment="1">
      <alignment vertical="center" wrapText="1"/>
    </xf>
    <xf numFmtId="0" fontId="34" fillId="16" borderId="1" xfId="1" applyFont="1" applyFill="1" applyBorder="1" applyAlignment="1">
      <alignment vertical="center" wrapText="1"/>
    </xf>
    <xf numFmtId="0" fontId="35" fillId="17" borderId="1" xfId="1" applyFont="1" applyFill="1" applyBorder="1" applyAlignment="1">
      <alignment vertical="center" wrapText="1"/>
    </xf>
    <xf numFmtId="0" fontId="35" fillId="7" borderId="1" xfId="1" applyFont="1" applyFill="1" applyBorder="1" applyAlignment="1">
      <alignment vertical="center" wrapText="1"/>
    </xf>
    <xf numFmtId="0" fontId="35" fillId="0" borderId="1" xfId="1" applyFont="1" applyBorder="1" applyAlignment="1">
      <alignment vertical="center" wrapText="1"/>
    </xf>
    <xf numFmtId="0" fontId="36" fillId="19" borderId="1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/>
    <xf numFmtId="0" fontId="36" fillId="19" borderId="0" xfId="2" applyFont="1" applyFill="1" applyAlignment="1">
      <alignment horizontal="center" vertical="center" wrapText="1"/>
    </xf>
    <xf numFmtId="4" fontId="36" fillId="0" borderId="0" xfId="2" applyNumberFormat="1" applyFont="1" applyAlignment="1">
      <alignment horizontal="center" vertical="center" wrapText="1"/>
    </xf>
    <xf numFmtId="4" fontId="36" fillId="0" borderId="6" xfId="2" applyNumberFormat="1" applyFont="1" applyBorder="1" applyAlignment="1">
      <alignment horizontal="center" vertical="center" wrapText="1"/>
    </xf>
    <xf numFmtId="4" fontId="14" fillId="0" borderId="6" xfId="2" applyNumberFormat="1" applyFont="1" applyBorder="1" applyAlignment="1">
      <alignment horizontal="center" vertical="center" wrapText="1"/>
    </xf>
    <xf numFmtId="10" fontId="14" fillId="0" borderId="6" xfId="2" applyNumberFormat="1" applyFont="1" applyBorder="1" applyAlignment="1">
      <alignment horizontal="center" vertical="center" wrapText="1"/>
    </xf>
    <xf numFmtId="4" fontId="14" fillId="0" borderId="1" xfId="2" applyNumberFormat="1" applyFont="1" applyBorder="1" applyAlignment="1">
      <alignment horizontal="center" vertical="center" wrapText="1"/>
    </xf>
    <xf numFmtId="10" fontId="14" fillId="0" borderId="1" xfId="2" applyNumberFormat="1" applyFont="1" applyBorder="1" applyAlignment="1">
      <alignment horizontal="center" vertical="center" wrapText="1"/>
    </xf>
    <xf numFmtId="4" fontId="14" fillId="0" borderId="0" xfId="2" applyNumberFormat="1" applyFont="1" applyAlignment="1">
      <alignment horizontal="center" vertical="center" wrapText="1"/>
    </xf>
    <xf numFmtId="0" fontId="37" fillId="0" borderId="0" xfId="0" applyFont="1"/>
    <xf numFmtId="4" fontId="14" fillId="0" borderId="0" xfId="2" applyNumberFormat="1" applyFont="1"/>
    <xf numFmtId="0" fontId="14" fillId="0" borderId="6" xfId="2" applyFont="1" applyBorder="1" applyAlignment="1">
      <alignment horizontal="center" vertical="center" wrapText="1"/>
    </xf>
    <xf numFmtId="0" fontId="14" fillId="20" borderId="1" xfId="2" applyFont="1" applyFill="1" applyBorder="1" applyAlignment="1">
      <alignment horizontal="center" vertical="center" wrapText="1"/>
    </xf>
    <xf numFmtId="0" fontId="14" fillId="21" borderId="1" xfId="2" applyFont="1" applyFill="1" applyBorder="1" applyAlignment="1">
      <alignment horizontal="center" vertical="center"/>
    </xf>
    <xf numFmtId="4" fontId="14" fillId="20" borderId="1" xfId="2" applyNumberFormat="1" applyFont="1" applyFill="1" applyBorder="1" applyAlignment="1">
      <alignment horizontal="center" vertical="center"/>
    </xf>
    <xf numFmtId="4" fontId="14" fillId="20" borderId="1" xfId="2" applyNumberFormat="1" applyFont="1" applyFill="1" applyBorder="1" applyAlignment="1">
      <alignment vertical="center"/>
    </xf>
    <xf numFmtId="3" fontId="14" fillId="20" borderId="1" xfId="2" applyNumberFormat="1" applyFont="1" applyFill="1" applyBorder="1" applyAlignment="1">
      <alignment vertical="center"/>
    </xf>
    <xf numFmtId="4" fontId="14" fillId="20" borderId="1" xfId="3" applyNumberFormat="1" applyFont="1" applyFill="1" applyBorder="1" applyAlignment="1">
      <alignment horizontal="center" vertical="center"/>
    </xf>
    <xf numFmtId="2" fontId="14" fillId="20" borderId="1" xfId="2" applyNumberFormat="1" applyFont="1" applyFill="1" applyBorder="1" applyAlignment="1">
      <alignment horizontal="center" vertical="center" wrapText="1"/>
    </xf>
    <xf numFmtId="10" fontId="14" fillId="2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14" fillId="0" borderId="1" xfId="2" applyFont="1" applyBorder="1" applyAlignment="1">
      <alignment horizontal="center" vertical="center" wrapText="1"/>
    </xf>
    <xf numFmtId="0" fontId="14" fillId="21" borderId="1" xfId="2" applyFont="1" applyFill="1" applyBorder="1" applyAlignment="1">
      <alignment horizontal="center" vertical="center" wrapText="1"/>
    </xf>
    <xf numFmtId="4" fontId="14" fillId="0" borderId="1" xfId="2" applyNumberFormat="1" applyFont="1" applyBorder="1" applyAlignment="1">
      <alignment horizontal="center" vertical="center"/>
    </xf>
    <xf numFmtId="4" fontId="14" fillId="0" borderId="1" xfId="2" applyNumberFormat="1" applyFont="1" applyBorder="1" applyAlignment="1">
      <alignment vertical="center"/>
    </xf>
    <xf numFmtId="3" fontId="14" fillId="0" borderId="1" xfId="2" applyNumberFormat="1" applyFont="1" applyBorder="1" applyAlignment="1">
      <alignment vertical="center"/>
    </xf>
    <xf numFmtId="4" fontId="14" fillId="0" borderId="1" xfId="3" applyNumberFormat="1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justify" vertical="center"/>
    </xf>
    <xf numFmtId="0" fontId="40" fillId="0" borderId="0" xfId="0" applyFont="1"/>
    <xf numFmtId="49" fontId="14" fillId="0" borderId="1" xfId="2" applyNumberFormat="1" applyFont="1" applyBorder="1" applyAlignment="1">
      <alignment horizontal="center" vertical="center" wrapText="1"/>
    </xf>
    <xf numFmtId="49" fontId="14" fillId="0" borderId="0" xfId="2" applyNumberFormat="1" applyFont="1" applyAlignment="1">
      <alignment horizontal="center" vertical="center" wrapText="1"/>
    </xf>
    <xf numFmtId="0" fontId="25" fillId="0" borderId="0" xfId="2"/>
    <xf numFmtId="4" fontId="43" fillId="19" borderId="1" xfId="2" applyNumberFormat="1" applyFont="1" applyFill="1" applyBorder="1" applyAlignment="1">
      <alignment horizontal="center" vertical="center" wrapText="1"/>
    </xf>
    <xf numFmtId="0" fontId="44" fillId="0" borderId="0" xfId="2" applyFont="1"/>
    <xf numFmtId="4" fontId="43" fillId="0" borderId="1" xfId="2" applyNumberFormat="1" applyFont="1" applyBorder="1" applyAlignment="1">
      <alignment horizontal="center" vertical="center" wrapText="1"/>
    </xf>
    <xf numFmtId="4" fontId="42" fillId="0" borderId="1" xfId="2" applyNumberFormat="1" applyFont="1" applyBorder="1" applyAlignment="1">
      <alignment horizontal="right" vertical="center" wrapText="1"/>
    </xf>
    <xf numFmtId="9" fontId="42" fillId="0" borderId="1" xfId="4" applyFont="1" applyBorder="1" applyAlignment="1" applyProtection="1">
      <alignment horizontal="right" vertical="center" wrapText="1"/>
    </xf>
    <xf numFmtId="4" fontId="42" fillId="0" borderId="1" xfId="2" applyNumberFormat="1" applyFont="1" applyBorder="1" applyAlignment="1">
      <alignment horizontal="center" vertical="center" wrapText="1"/>
    </xf>
    <xf numFmtId="1" fontId="42" fillId="0" borderId="1" xfId="2" applyNumberFormat="1" applyFont="1" applyBorder="1" applyAlignment="1">
      <alignment horizontal="center" vertical="center" wrapText="1"/>
    </xf>
    <xf numFmtId="4" fontId="42" fillId="0" borderId="1" xfId="2" applyNumberFormat="1" applyFont="1" applyBorder="1" applyAlignment="1">
      <alignment horizontal="right" vertical="center"/>
    </xf>
    <xf numFmtId="4" fontId="42" fillId="0" borderId="1" xfId="3" applyNumberFormat="1" applyFont="1" applyBorder="1" applyAlignment="1">
      <alignment horizontal="right" vertical="center"/>
    </xf>
    <xf numFmtId="1" fontId="42" fillId="0" borderId="1" xfId="2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2" fontId="47" fillId="2" borderId="1" xfId="0" applyNumberFormat="1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horizontal="center" vertical="center"/>
    </xf>
    <xf numFmtId="2" fontId="27" fillId="4" borderId="1" xfId="0" applyNumberFormat="1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/>
    </xf>
    <xf numFmtId="2" fontId="25" fillId="2" borderId="5" xfId="0" applyNumberFormat="1" applyFont="1" applyFill="1" applyBorder="1" applyAlignment="1">
      <alignment horizontal="center" vertical="center" wrapText="1"/>
    </xf>
    <xf numFmtId="2" fontId="25" fillId="6" borderId="5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center" vertical="center"/>
    </xf>
    <xf numFmtId="2" fontId="27" fillId="2" borderId="5" xfId="0" applyNumberFormat="1" applyFont="1" applyFill="1" applyBorder="1" applyAlignment="1">
      <alignment horizontal="center" vertical="center" wrapText="1"/>
    </xf>
    <xf numFmtId="2" fontId="30" fillId="4" borderId="4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right" vertical="top"/>
    </xf>
    <xf numFmtId="0" fontId="23" fillId="0" borderId="0" xfId="0" applyFont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49" fontId="27" fillId="6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2" fontId="47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21" fillId="22" borderId="28" xfId="0" applyFont="1" applyFill="1" applyBorder="1" applyAlignment="1">
      <alignment vertical="center" wrapText="1"/>
    </xf>
    <xf numFmtId="164" fontId="9" fillId="0" borderId="6" xfId="0" applyNumberFormat="1" applyFont="1" applyBorder="1" applyAlignment="1">
      <alignment vertical="center"/>
    </xf>
    <xf numFmtId="164" fontId="1" fillId="2" borderId="6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5" fontId="1" fillId="2" borderId="6" xfId="0" applyNumberFormat="1" applyFont="1" applyFill="1" applyBorder="1" applyAlignment="1" applyProtection="1">
      <alignment vertical="center"/>
      <protection locked="0"/>
    </xf>
    <xf numFmtId="166" fontId="1" fillId="2" borderId="6" xfId="0" applyNumberFormat="1" applyFont="1" applyFill="1" applyBorder="1" applyAlignment="1" applyProtection="1">
      <alignment horizontal="center" vertical="center"/>
      <protection locked="0"/>
    </xf>
    <xf numFmtId="0" fontId="49" fillId="0" borderId="28" xfId="0" applyFont="1" applyBorder="1" applyAlignment="1">
      <alignment horizontal="right" vertical="center"/>
    </xf>
    <xf numFmtId="0" fontId="49" fillId="7" borderId="28" xfId="0" applyFont="1" applyFill="1" applyBorder="1" applyAlignment="1">
      <alignment horizontal="center" vertical="center" wrapText="1"/>
    </xf>
    <xf numFmtId="0" fontId="49" fillId="7" borderId="29" xfId="0" applyFont="1" applyFill="1" applyBorder="1" applyAlignment="1">
      <alignment horizontal="center" vertical="center" wrapText="1"/>
    </xf>
    <xf numFmtId="0" fontId="49" fillId="0" borderId="28" xfId="0" applyFont="1" applyBorder="1" applyAlignment="1">
      <alignment horizontal="left" vertical="center" wrapText="1"/>
    </xf>
    <xf numFmtId="0" fontId="49" fillId="0" borderId="28" xfId="0" applyFont="1" applyBorder="1" applyAlignment="1">
      <alignment horizontal="center" vertical="center" wrapText="1"/>
    </xf>
    <xf numFmtId="164" fontId="49" fillId="0" borderId="28" xfId="0" applyNumberFormat="1" applyFont="1" applyBorder="1" applyAlignment="1">
      <alignment horizontal="right" vertical="center" wrapText="1"/>
    </xf>
    <xf numFmtId="2" fontId="49" fillId="0" borderId="28" xfId="0" applyNumberFormat="1" applyFont="1" applyBorder="1" applyAlignment="1" applyProtection="1">
      <alignment horizontal="right" vertical="center" wrapText="1"/>
      <protection locked="0"/>
    </xf>
    <xf numFmtId="2" fontId="49" fillId="0" borderId="28" xfId="0" applyNumberFormat="1" applyFont="1" applyBorder="1" applyAlignment="1">
      <alignment horizontal="right" vertical="center" wrapText="1"/>
    </xf>
    <xf numFmtId="1" fontId="49" fillId="0" borderId="28" xfId="0" applyNumberFormat="1" applyFont="1" applyBorder="1" applyAlignment="1">
      <alignment horizontal="right" vertical="center" wrapText="1"/>
    </xf>
    <xf numFmtId="4" fontId="50" fillId="0" borderId="28" xfId="0" applyNumberFormat="1" applyFont="1" applyBorder="1" applyAlignment="1">
      <alignment horizontal="right" vertical="center" wrapText="1"/>
    </xf>
    <xf numFmtId="4" fontId="50" fillId="7" borderId="29" xfId="0" applyNumberFormat="1" applyFont="1" applyFill="1" applyBorder="1" applyAlignment="1">
      <alignment vertical="center"/>
    </xf>
    <xf numFmtId="4" fontId="50" fillId="7" borderId="28" xfId="0" applyNumberFormat="1" applyFont="1" applyFill="1" applyBorder="1" applyAlignment="1">
      <alignment vertical="center" wrapText="1"/>
    </xf>
    <xf numFmtId="9" fontId="49" fillId="7" borderId="28" xfId="0" applyNumberFormat="1" applyFont="1" applyFill="1" applyBorder="1" applyAlignment="1">
      <alignment horizontal="center" vertical="center"/>
    </xf>
    <xf numFmtId="4" fontId="50" fillId="7" borderId="28" xfId="0" applyNumberFormat="1" applyFont="1" applyFill="1" applyBorder="1" applyAlignment="1">
      <alignment horizontal="right" vertical="center" wrapText="1"/>
    </xf>
    <xf numFmtId="166" fontId="49" fillId="7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164" fontId="1" fillId="2" borderId="14" xfId="0" applyNumberFormat="1" applyFont="1" applyFill="1" applyBorder="1" applyAlignment="1" applyProtection="1">
      <alignment horizontal="right" vertical="center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164" fontId="1" fillId="2" borderId="4" xfId="0" applyNumberFormat="1" applyFont="1" applyFill="1" applyBorder="1" applyAlignment="1" applyProtection="1">
      <alignment horizontal="right" vertical="center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3" fillId="2" borderId="8" xfId="0" applyFont="1" applyFill="1" applyBorder="1" applyAlignment="1" applyProtection="1">
      <alignment horizontal="left" vertical="top" wrapText="1"/>
      <protection locked="0"/>
    </xf>
    <xf numFmtId="0" fontId="13" fillId="2" borderId="13" xfId="0" applyFont="1" applyFill="1" applyBorder="1" applyAlignment="1" applyProtection="1">
      <alignment horizontal="left" vertical="top" wrapText="1"/>
      <protection locked="0"/>
    </xf>
    <xf numFmtId="0" fontId="13" fillId="2" borderId="9" xfId="0" applyFont="1" applyFill="1" applyBorder="1" applyAlignment="1" applyProtection="1">
      <alignment horizontal="left" vertical="top" wrapText="1"/>
      <protection locked="0"/>
    </xf>
    <xf numFmtId="0" fontId="13" fillId="2" borderId="10" xfId="0" applyFont="1" applyFill="1" applyBorder="1" applyAlignment="1" applyProtection="1">
      <alignment horizontal="left" vertical="top" wrapText="1"/>
      <protection locked="0"/>
    </xf>
    <xf numFmtId="0" fontId="13" fillId="2" borderId="0" xfId="0" applyFont="1" applyFill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11" xfId="0" applyFont="1" applyFill="1" applyBorder="1" applyAlignment="1" applyProtection="1">
      <alignment horizontal="left" vertical="top" wrapText="1"/>
      <protection locked="0"/>
    </xf>
    <xf numFmtId="0" fontId="13" fillId="2" borderId="16" xfId="0" applyFont="1" applyFill="1" applyBorder="1" applyAlignment="1" applyProtection="1">
      <alignment horizontal="left" vertical="top" wrapText="1"/>
      <protection locked="0"/>
    </xf>
    <xf numFmtId="0" fontId="13" fillId="2" borderId="12" xfId="0" applyFont="1" applyFill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4" fontId="14" fillId="0" borderId="25" xfId="0" applyNumberFormat="1" applyFont="1" applyBorder="1" applyAlignment="1">
      <alignment horizontal="center" vertical="center"/>
    </xf>
    <xf numFmtId="4" fontId="14" fillId="0" borderId="27" xfId="0" applyNumberFormat="1" applyFont="1" applyBorder="1" applyAlignment="1">
      <alignment horizontal="center" vertical="center"/>
    </xf>
    <xf numFmtId="4" fontId="14" fillId="0" borderId="2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3" xfId="0" applyFont="1" applyBorder="1" applyAlignment="1">
      <alignment horizontal="left"/>
    </xf>
    <xf numFmtId="0" fontId="16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6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164" fontId="9" fillId="0" borderId="15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4" fontId="9" fillId="0" borderId="11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164" fontId="1" fillId="2" borderId="6" xfId="0" applyNumberFormat="1" applyFont="1" applyFill="1" applyBorder="1" applyAlignment="1" applyProtection="1">
      <alignment horizontal="right" vertical="center"/>
      <protection locked="0"/>
    </xf>
    <xf numFmtId="0" fontId="1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9" fillId="0" borderId="15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21" fillId="5" borderId="34" xfId="0" applyFont="1" applyFill="1" applyBorder="1" applyAlignment="1">
      <alignment horizontal="center" vertical="center" wrapText="1"/>
    </xf>
    <xf numFmtId="0" fontId="21" fillId="22" borderId="30" xfId="0" applyFont="1" applyFill="1" applyBorder="1" applyAlignment="1">
      <alignment horizontal="center" vertical="center" wrapText="1"/>
    </xf>
    <xf numFmtId="0" fontId="21" fillId="22" borderId="34" xfId="0" applyFont="1" applyFill="1" applyBorder="1" applyAlignment="1">
      <alignment horizontal="center" vertical="center" wrapText="1"/>
    </xf>
    <xf numFmtId="0" fontId="21" fillId="22" borderId="29" xfId="0" applyFont="1" applyFill="1" applyBorder="1" applyAlignment="1">
      <alignment horizontal="center" vertical="center" wrapText="1"/>
    </xf>
    <xf numFmtId="0" fontId="21" fillId="22" borderId="31" xfId="0" applyFont="1" applyFill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22" borderId="28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left" vertical="top" wrapText="1"/>
    </xf>
    <xf numFmtId="0" fontId="27" fillId="6" borderId="3" xfId="0" applyFont="1" applyFill="1" applyBorder="1" applyAlignment="1">
      <alignment horizontal="left" vertical="top" wrapText="1"/>
    </xf>
    <xf numFmtId="0" fontId="30" fillId="8" borderId="2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right" vertical="top"/>
    </xf>
    <xf numFmtId="0" fontId="25" fillId="0" borderId="3" xfId="0" applyFont="1" applyBorder="1" applyAlignment="1">
      <alignment horizontal="right" vertical="top"/>
    </xf>
    <xf numFmtId="0" fontId="25" fillId="0" borderId="4" xfId="0" applyFont="1" applyBorder="1" applyAlignment="1">
      <alignment horizontal="right" vertical="top"/>
    </xf>
    <xf numFmtId="0" fontId="27" fillId="0" borderId="1" xfId="0" applyFont="1" applyBorder="1" applyAlignment="1">
      <alignment horizontal="left" vertical="center"/>
    </xf>
    <xf numFmtId="0" fontId="27" fillId="6" borderId="2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7" fillId="8" borderId="5" xfId="0" applyFont="1" applyFill="1" applyBorder="1" applyAlignment="1">
      <alignment horizontal="center" vertical="center"/>
    </xf>
    <xf numFmtId="0" fontId="27" fillId="8" borderId="17" xfId="0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/>
    </xf>
    <xf numFmtId="49" fontId="27" fillId="0" borderId="5" xfId="0" applyNumberFormat="1" applyFont="1" applyBorder="1" applyAlignment="1">
      <alignment horizontal="center" vertical="center"/>
    </xf>
    <xf numFmtId="49" fontId="27" fillId="0" borderId="17" xfId="0" applyNumberFormat="1" applyFont="1" applyBorder="1" applyAlignment="1">
      <alignment horizontal="center" vertical="center"/>
    </xf>
    <xf numFmtId="49" fontId="27" fillId="0" borderId="6" xfId="0" applyNumberFormat="1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/>
    </xf>
    <xf numFmtId="0" fontId="25" fillId="6" borderId="4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right" vertical="top" wrapText="1"/>
    </xf>
    <xf numFmtId="0" fontId="25" fillId="0" borderId="3" xfId="0" applyFont="1" applyBorder="1" applyAlignment="1">
      <alignment horizontal="right" vertical="top" wrapText="1"/>
    </xf>
    <xf numFmtId="0" fontId="25" fillId="0" borderId="4" xfId="0" applyFont="1" applyBorder="1" applyAlignment="1">
      <alignment horizontal="right" vertical="top" wrapText="1"/>
    </xf>
    <xf numFmtId="49" fontId="27" fillId="0" borderId="1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5" fillId="6" borderId="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 wrapText="1"/>
    </xf>
    <xf numFmtId="0" fontId="27" fillId="8" borderId="1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0" fontId="25" fillId="0" borderId="9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27" fillId="0" borderId="4" xfId="0" applyFont="1" applyBorder="1" applyAlignment="1">
      <alignment horizontal="left" vertical="top"/>
    </xf>
    <xf numFmtId="0" fontId="26" fillId="0" borderId="1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5" fillId="0" borderId="2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0" borderId="3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6" borderId="2" xfId="0" applyFont="1" applyFill="1" applyBorder="1" applyAlignment="1">
      <alignment horizontal="right" vertical="top"/>
    </xf>
    <xf numFmtId="0" fontId="25" fillId="6" borderId="3" xfId="0" applyFont="1" applyFill="1" applyBorder="1" applyAlignment="1">
      <alignment horizontal="right" vertical="top"/>
    </xf>
    <xf numFmtId="0" fontId="25" fillId="6" borderId="4" xfId="0" applyFont="1" applyFill="1" applyBorder="1" applyAlignment="1">
      <alignment horizontal="right" vertical="top"/>
    </xf>
    <xf numFmtId="0" fontId="36" fillId="19" borderId="1" xfId="2" applyFont="1" applyFill="1" applyBorder="1" applyAlignment="1">
      <alignment horizontal="center" vertical="center" wrapText="1"/>
    </xf>
    <xf numFmtId="10" fontId="36" fillId="19" borderId="1" xfId="2" applyNumberFormat="1" applyFont="1" applyFill="1" applyBorder="1" applyAlignment="1">
      <alignment horizontal="center" vertical="center" wrapText="1"/>
    </xf>
    <xf numFmtId="0" fontId="36" fillId="18" borderId="24" xfId="2" applyFont="1" applyFill="1" applyBorder="1" applyAlignment="1">
      <alignment horizontal="center" vertical="center" wrapText="1"/>
    </xf>
    <xf numFmtId="0" fontId="14" fillId="19" borderId="1" xfId="2" applyFont="1" applyFill="1" applyBorder="1" applyAlignment="1">
      <alignment horizontal="center" vertical="center" wrapText="1"/>
    </xf>
    <xf numFmtId="4" fontId="43" fillId="19" borderId="1" xfId="2" applyNumberFormat="1" applyFont="1" applyFill="1" applyBorder="1" applyAlignment="1">
      <alignment horizontal="center" vertical="center" wrapText="1"/>
    </xf>
    <xf numFmtId="4" fontId="42" fillId="19" borderId="1" xfId="2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textRotation="255" wrapText="1"/>
    </xf>
    <xf numFmtId="0" fontId="21" fillId="0" borderId="1" xfId="0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27" fillId="2" borderId="2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top" wrapText="1"/>
    </xf>
    <xf numFmtId="0" fontId="28" fillId="4" borderId="3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25" fillId="0" borderId="2" xfId="0" applyFont="1" applyBorder="1" applyAlignment="1">
      <alignment horizontal="left" vertical="center" wrapText="1"/>
    </xf>
  </cellXfs>
  <cellStyles count="5">
    <cellStyle name="Normalny" xfId="0" builtinId="0"/>
    <cellStyle name="Normalny 2" xfId="2" xr:uid="{00000000-0005-0000-0000-000001000000}"/>
    <cellStyle name="Normalny 3" xfId="3" xr:uid="{00000000-0005-0000-0000-000002000000}"/>
    <cellStyle name="Normalny_Arkusz1" xfId="1" xr:uid="{00000000-0005-0000-0000-000003000000}"/>
    <cellStyle name="Procentowy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177</xdr:row>
          <xdr:rowOff>0</xdr:rowOff>
        </xdr:from>
        <xdr:to>
          <xdr:col>7</xdr:col>
          <xdr:colOff>914400</xdr:colOff>
          <xdr:row>178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179</xdr:row>
          <xdr:rowOff>219075</xdr:rowOff>
        </xdr:from>
        <xdr:to>
          <xdr:col>7</xdr:col>
          <xdr:colOff>904875</xdr:colOff>
          <xdr:row>180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185</xdr:row>
          <xdr:rowOff>161925</xdr:rowOff>
        </xdr:from>
        <xdr:to>
          <xdr:col>7</xdr:col>
          <xdr:colOff>914400</xdr:colOff>
          <xdr:row>186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181</xdr:row>
          <xdr:rowOff>180975</xdr:rowOff>
        </xdr:from>
        <xdr:to>
          <xdr:col>7</xdr:col>
          <xdr:colOff>904875</xdr:colOff>
          <xdr:row>182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183</xdr:row>
          <xdr:rowOff>247650</xdr:rowOff>
        </xdr:from>
        <xdr:to>
          <xdr:col>7</xdr:col>
          <xdr:colOff>904875</xdr:colOff>
          <xdr:row>184</xdr:row>
          <xdr:rowOff>57150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201"/>
  <sheetViews>
    <sheetView tabSelected="1" topLeftCell="A3" zoomScale="85" zoomScaleNormal="85" zoomScalePageLayoutView="40" workbookViewId="0">
      <selection activeCell="D21" sqref="D21"/>
    </sheetView>
  </sheetViews>
  <sheetFormatPr defaultColWidth="9.140625" defaultRowHeight="20.100000000000001" customHeight="1"/>
  <cols>
    <col min="1" max="1" width="28.28515625" style="16" customWidth="1"/>
    <col min="2" max="2" width="34" style="16" customWidth="1"/>
    <col min="3" max="5" width="19.28515625" style="16" customWidth="1"/>
    <col min="6" max="6" width="21" style="16" customWidth="1"/>
    <col min="7" max="7" width="20.140625" style="16" customWidth="1"/>
    <col min="8" max="8" width="19.85546875" style="16" customWidth="1"/>
    <col min="9" max="9" width="19.7109375" style="16" customWidth="1"/>
    <col min="10" max="10" width="9.140625" style="16"/>
    <col min="11" max="11" width="9.85546875" style="16" bestFit="1" customWidth="1"/>
    <col min="12" max="16384" width="9.140625" style="16"/>
  </cols>
  <sheetData>
    <row r="1" spans="1:8" s="11" customFormat="1" ht="30" customHeight="1">
      <c r="A1" s="208" t="s">
        <v>299</v>
      </c>
      <c r="B1" s="208"/>
      <c r="C1" s="208"/>
      <c r="D1" s="208"/>
      <c r="E1" s="208"/>
      <c r="F1" s="208"/>
      <c r="G1" s="208"/>
      <c r="H1" s="208"/>
    </row>
    <row r="2" spans="1:8" s="13" customFormat="1" ht="20.100000000000001" customHeight="1">
      <c r="A2" s="12"/>
      <c r="B2" s="12"/>
      <c r="C2" s="12"/>
      <c r="D2" s="12"/>
      <c r="E2" s="12"/>
      <c r="F2" s="12"/>
      <c r="G2" s="12"/>
      <c r="H2" s="12"/>
    </row>
    <row r="3" spans="1:8" s="14" customFormat="1" ht="30" customHeight="1">
      <c r="A3" s="223"/>
      <c r="B3" s="225"/>
      <c r="E3" s="47"/>
      <c r="G3" s="223"/>
      <c r="H3" s="225"/>
    </row>
    <row r="4" spans="1:8" ht="20.100000000000001" customHeight="1">
      <c r="A4" s="15" t="s">
        <v>25</v>
      </c>
      <c r="G4" s="226" t="s">
        <v>17</v>
      </c>
      <c r="H4" s="226"/>
    </row>
    <row r="6" spans="1:8" ht="20.100000000000001" customHeight="1">
      <c r="A6" s="232"/>
      <c r="B6" s="233"/>
      <c r="C6" s="234"/>
      <c r="D6" s="17"/>
      <c r="E6" s="209" t="s">
        <v>301</v>
      </c>
      <c r="F6" s="209"/>
      <c r="G6" s="209"/>
      <c r="H6" s="209"/>
    </row>
    <row r="7" spans="1:8" ht="20.100000000000001" customHeight="1">
      <c r="A7" s="253"/>
      <c r="B7" s="254"/>
      <c r="C7" s="255"/>
      <c r="D7" s="14"/>
      <c r="E7" s="209"/>
      <c r="F7" s="209"/>
      <c r="G7" s="209"/>
      <c r="H7" s="209"/>
    </row>
    <row r="8" spans="1:8" ht="20.100000000000001" customHeight="1">
      <c r="A8" s="235"/>
      <c r="B8" s="236"/>
      <c r="C8" s="237"/>
      <c r="D8" s="14"/>
      <c r="E8" s="209"/>
      <c r="F8" s="209"/>
      <c r="G8" s="209"/>
      <c r="H8" s="209"/>
    </row>
    <row r="9" spans="1:8" ht="20.100000000000001" customHeight="1">
      <c r="A9" s="240" t="s">
        <v>18</v>
      </c>
      <c r="B9" s="240"/>
      <c r="C9" s="240"/>
      <c r="D9" s="14"/>
      <c r="E9" s="209"/>
      <c r="F9" s="209"/>
      <c r="G9" s="209"/>
      <c r="H9" s="209"/>
    </row>
    <row r="10" spans="1:8" ht="30" customHeight="1">
      <c r="A10" s="223"/>
      <c r="B10" s="224"/>
      <c r="C10" s="225"/>
      <c r="D10" s="14"/>
      <c r="E10" s="209"/>
      <c r="F10" s="209"/>
      <c r="G10" s="209"/>
      <c r="H10" s="209"/>
    </row>
    <row r="11" spans="1:8" ht="20.100000000000001" customHeight="1">
      <c r="A11" s="239" t="s">
        <v>19</v>
      </c>
      <c r="B11" s="239"/>
      <c r="C11" s="239"/>
      <c r="D11" s="14"/>
      <c r="E11" s="14"/>
      <c r="F11" s="14"/>
      <c r="G11" s="14"/>
      <c r="H11" s="14"/>
    </row>
    <row r="12" spans="1:8" ht="30" customHeight="1">
      <c r="A12" s="223"/>
      <c r="B12" s="224"/>
      <c r="C12" s="225"/>
      <c r="D12" s="14"/>
      <c r="E12" s="14"/>
      <c r="F12" s="14"/>
      <c r="G12" s="18"/>
      <c r="H12" s="14"/>
    </row>
    <row r="13" spans="1:8" ht="20.100000000000001" customHeight="1">
      <c r="A13" s="226" t="s">
        <v>20</v>
      </c>
      <c r="B13" s="226"/>
      <c r="C13" s="226"/>
      <c r="D13" s="14"/>
      <c r="E13" s="14"/>
      <c r="F13" s="14"/>
      <c r="G13" s="14"/>
      <c r="H13" s="14"/>
    </row>
    <row r="14" spans="1:8" ht="20.100000000000001" customHeight="1">
      <c r="A14" s="230"/>
      <c r="B14" s="230"/>
      <c r="C14" s="230"/>
      <c r="D14" s="230"/>
      <c r="E14" s="230"/>
      <c r="F14" s="230"/>
      <c r="G14" s="230"/>
      <c r="H14" s="230"/>
    </row>
    <row r="15" spans="1:8" ht="23.25">
      <c r="A15" s="230" t="s">
        <v>506</v>
      </c>
      <c r="B15" s="230"/>
      <c r="C15" s="230"/>
      <c r="D15" s="230"/>
      <c r="E15" s="230"/>
      <c r="F15" s="230"/>
      <c r="G15" s="230"/>
      <c r="H15" s="230"/>
    </row>
    <row r="16" spans="1:8" ht="23.25">
      <c r="A16" s="19"/>
      <c r="B16" s="19"/>
      <c r="C16" s="19"/>
      <c r="D16" s="19"/>
      <c r="E16" s="19"/>
      <c r="F16" s="19"/>
      <c r="G16" s="19"/>
      <c r="H16" s="19"/>
    </row>
    <row r="17" spans="1:9" ht="30" customHeight="1">
      <c r="A17" s="256" t="s">
        <v>534</v>
      </c>
      <c r="B17" s="256"/>
      <c r="C17" s="256"/>
      <c r="D17" s="256"/>
      <c r="E17" s="256"/>
      <c r="F17" s="256"/>
      <c r="G17" s="256"/>
      <c r="H17" s="4" t="s">
        <v>0</v>
      </c>
      <c r="I17" s="53"/>
    </row>
    <row r="19" spans="1:9" s="21" customFormat="1" ht="20.100000000000001" customHeight="1">
      <c r="A19" s="20" t="s">
        <v>2</v>
      </c>
    </row>
    <row r="20" spans="1:9" ht="20.100000000000001" customHeight="1">
      <c r="E20" s="160"/>
    </row>
    <row r="21" spans="1:9" s="2" customFormat="1" ht="39.950000000000003" customHeight="1">
      <c r="A21" s="22" t="s">
        <v>3</v>
      </c>
      <c r="B21" s="30" t="s">
        <v>1</v>
      </c>
      <c r="C21" s="52"/>
      <c r="D21" s="165"/>
      <c r="E21" s="165"/>
      <c r="F21" s="172" t="s">
        <v>520</v>
      </c>
      <c r="G21" s="166"/>
    </row>
    <row r="22" spans="1:9" s="14" customFormat="1" ht="20.100000000000001" customHeight="1">
      <c r="A22" s="17"/>
    </row>
    <row r="23" spans="1:9" s="2" customFormat="1" ht="30" customHeight="1">
      <c r="A23" s="22" t="s">
        <v>4</v>
      </c>
      <c r="B23" s="4" t="s">
        <v>5</v>
      </c>
      <c r="C23" s="53"/>
    </row>
    <row r="24" spans="1:9" s="14" customFormat="1" ht="20.100000000000001" customHeight="1">
      <c r="A24" s="23"/>
    </row>
    <row r="25" spans="1:9" s="14" customFormat="1" ht="45.75" customHeight="1">
      <c r="A25" s="299" t="s">
        <v>521</v>
      </c>
      <c r="B25" s="232"/>
      <c r="C25" s="233"/>
      <c r="D25" s="233"/>
      <c r="E25" s="233"/>
      <c r="F25" s="233"/>
      <c r="G25" s="233"/>
      <c r="H25" s="234"/>
    </row>
    <row r="26" spans="1:9" s="14" customFormat="1" ht="55.5" customHeight="1">
      <c r="A26" s="299"/>
      <c r="B26" s="235"/>
      <c r="C26" s="236"/>
      <c r="D26" s="236"/>
      <c r="E26" s="236"/>
      <c r="F26" s="236"/>
      <c r="G26" s="236"/>
      <c r="H26" s="237"/>
    </row>
    <row r="28" spans="1:9" s="21" customFormat="1" ht="20.100000000000001" customHeight="1"/>
    <row r="29" spans="1:9" ht="20.100000000000001" customHeight="1">
      <c r="A29" s="20" t="s">
        <v>6</v>
      </c>
      <c r="B29" s="21"/>
      <c r="C29" s="21"/>
      <c r="D29" s="21"/>
      <c r="E29" s="21"/>
    </row>
    <row r="30" spans="1:9" ht="20.100000000000001" customHeight="1">
      <c r="F30" s="40"/>
      <c r="G30" s="5"/>
    </row>
    <row r="31" spans="1:9" s="14" customFormat="1" ht="32.25" customHeight="1">
      <c r="A31" s="245" t="s">
        <v>522</v>
      </c>
      <c r="B31" s="246"/>
      <c r="C31" s="247" t="s">
        <v>297</v>
      </c>
      <c r="D31" s="248"/>
      <c r="E31" s="249"/>
      <c r="F31" s="173"/>
      <c r="G31" s="5"/>
    </row>
    <row r="32" spans="1:9" s="24" customFormat="1" ht="20.100000000000001" customHeight="1">
      <c r="A32" s="205"/>
      <c r="B32" s="207"/>
      <c r="C32" s="250"/>
      <c r="D32" s="251"/>
      <c r="E32" s="252"/>
      <c r="F32" s="45"/>
      <c r="G32" s="45"/>
    </row>
    <row r="33" spans="1:11" s="14" customFormat="1" ht="18.75" thickBot="1">
      <c r="A33" s="241">
        <v>1</v>
      </c>
      <c r="B33" s="242"/>
      <c r="C33" s="241">
        <v>2</v>
      </c>
      <c r="D33" s="257"/>
      <c r="E33" s="242"/>
      <c r="F33" s="46"/>
      <c r="G33" s="46"/>
      <c r="K33" s="31"/>
    </row>
    <row r="34" spans="1:11" s="14" customFormat="1" ht="28.5" customHeight="1">
      <c r="A34" s="227">
        <f>E66</f>
        <v>0</v>
      </c>
      <c r="B34" s="229"/>
      <c r="C34" s="227">
        <f>E64</f>
        <v>0</v>
      </c>
      <c r="D34" s="228"/>
      <c r="E34" s="229"/>
      <c r="F34" s="53"/>
      <c r="G34" s="2"/>
    </row>
    <row r="37" spans="1:11" s="21" customFormat="1" ht="20.100000000000001" customHeight="1">
      <c r="A37" s="20" t="s">
        <v>11</v>
      </c>
      <c r="C37" s="25"/>
    </row>
    <row r="39" spans="1:11" ht="20.100000000000001" customHeight="1">
      <c r="A39" s="231" t="s">
        <v>23</v>
      </c>
      <c r="B39" s="231"/>
      <c r="C39" s="231"/>
      <c r="D39" s="231"/>
      <c r="E39" s="231"/>
      <c r="F39" s="231"/>
      <c r="G39" s="231"/>
      <c r="H39" s="231"/>
      <c r="I39" s="5"/>
    </row>
    <row r="40" spans="1:11" s="14" customFormat="1" ht="27.75" customHeight="1">
      <c r="A40" s="238" t="s">
        <v>7</v>
      </c>
      <c r="B40" s="258" t="s">
        <v>510</v>
      </c>
      <c r="C40" s="258"/>
      <c r="D40" s="258"/>
      <c r="E40" s="243" t="s">
        <v>291</v>
      </c>
      <c r="F40" s="243" t="s">
        <v>300</v>
      </c>
      <c r="G40" s="238" t="s">
        <v>511</v>
      </c>
      <c r="H40" s="238"/>
      <c r="I40" s="33"/>
    </row>
    <row r="41" spans="1:11" s="14" customFormat="1" ht="48.75" customHeight="1">
      <c r="A41" s="196"/>
      <c r="B41" s="259"/>
      <c r="C41" s="259"/>
      <c r="D41" s="259"/>
      <c r="E41" s="244"/>
      <c r="F41" s="244"/>
      <c r="G41" s="196"/>
      <c r="H41" s="196"/>
      <c r="I41" s="33"/>
    </row>
    <row r="42" spans="1:11" s="14" customFormat="1" ht="39" customHeight="1">
      <c r="A42" s="196"/>
      <c r="B42" s="259"/>
      <c r="C42" s="259"/>
      <c r="D42" s="259"/>
      <c r="E42" s="244"/>
      <c r="F42" s="244"/>
      <c r="G42" s="32" t="s">
        <v>8</v>
      </c>
      <c r="H42" s="32" t="s">
        <v>9</v>
      </c>
      <c r="I42" s="33"/>
    </row>
    <row r="43" spans="1:11" s="24" customFormat="1" ht="20.100000000000001" customHeight="1" thickBot="1">
      <c r="A43" s="1">
        <v>1</v>
      </c>
      <c r="B43" s="267">
        <v>2</v>
      </c>
      <c r="C43" s="267"/>
      <c r="D43" s="267"/>
      <c r="E43" s="1">
        <v>3</v>
      </c>
      <c r="F43" s="1">
        <v>4</v>
      </c>
      <c r="G43" s="1">
        <v>5</v>
      </c>
      <c r="H43" s="1">
        <v>6</v>
      </c>
      <c r="I43" s="34"/>
    </row>
    <row r="44" spans="1:11" ht="30" customHeight="1">
      <c r="A44" s="3">
        <v>1</v>
      </c>
      <c r="B44" s="278"/>
      <c r="C44" s="278"/>
      <c r="D44" s="278"/>
      <c r="E44" s="10"/>
      <c r="F44" s="10"/>
      <c r="G44" s="176"/>
      <c r="H44" s="176"/>
    </row>
    <row r="45" spans="1:11" ht="30" customHeight="1">
      <c r="A45" s="4">
        <v>2</v>
      </c>
      <c r="B45" s="268"/>
      <c r="C45" s="268"/>
      <c r="D45" s="268"/>
      <c r="E45" s="9"/>
      <c r="F45" s="9"/>
      <c r="G45" s="176"/>
      <c r="H45" s="176"/>
    </row>
    <row r="46" spans="1:11" ht="30" customHeight="1">
      <c r="A46" s="4">
        <v>3</v>
      </c>
      <c r="B46" s="268"/>
      <c r="C46" s="268"/>
      <c r="D46" s="268"/>
      <c r="E46" s="9"/>
      <c r="F46" s="9"/>
      <c r="G46" s="176"/>
      <c r="H46" s="176"/>
    </row>
    <row r="47" spans="1:11" ht="30" customHeight="1">
      <c r="A47" s="4">
        <v>4</v>
      </c>
      <c r="B47" s="223"/>
      <c r="C47" s="224"/>
      <c r="D47" s="225"/>
      <c r="E47" s="9"/>
      <c r="F47" s="9"/>
      <c r="G47" s="176"/>
      <c r="H47" s="176"/>
    </row>
    <row r="48" spans="1:11" ht="30" customHeight="1">
      <c r="A48" s="4">
        <v>5</v>
      </c>
      <c r="B48" s="223"/>
      <c r="C48" s="224"/>
      <c r="D48" s="225"/>
      <c r="E48" s="9"/>
      <c r="F48" s="9"/>
      <c r="G48" s="176"/>
      <c r="H48" s="176"/>
    </row>
    <row r="49" spans="1:8" ht="30" customHeight="1">
      <c r="A49" s="4">
        <v>6</v>
      </c>
      <c r="B49" s="223"/>
      <c r="C49" s="224"/>
      <c r="D49" s="225"/>
      <c r="E49" s="9"/>
      <c r="F49" s="9"/>
      <c r="G49" s="176"/>
      <c r="H49" s="176"/>
    </row>
    <row r="50" spans="1:8" ht="30" customHeight="1">
      <c r="A50" s="4">
        <v>7</v>
      </c>
      <c r="B50" s="223"/>
      <c r="C50" s="224"/>
      <c r="D50" s="225"/>
      <c r="E50" s="9"/>
      <c r="F50" s="9"/>
      <c r="G50" s="176"/>
      <c r="H50" s="176"/>
    </row>
    <row r="51" spans="1:8" ht="30" customHeight="1">
      <c r="A51" s="4">
        <v>8</v>
      </c>
      <c r="B51" s="223"/>
      <c r="C51" s="224"/>
      <c r="D51" s="225"/>
      <c r="E51" s="9"/>
      <c r="F51" s="9"/>
      <c r="G51" s="176"/>
      <c r="H51" s="176"/>
    </row>
    <row r="52" spans="1:8" ht="30" customHeight="1">
      <c r="A52" s="4">
        <v>9</v>
      </c>
      <c r="B52" s="223"/>
      <c r="C52" s="224"/>
      <c r="D52" s="225"/>
      <c r="E52" s="9"/>
      <c r="F52" s="9"/>
      <c r="G52" s="176"/>
      <c r="H52" s="176"/>
    </row>
    <row r="53" spans="1:8" ht="30" customHeight="1">
      <c r="A53" s="4">
        <v>10</v>
      </c>
      <c r="B53" s="223"/>
      <c r="C53" s="224"/>
      <c r="D53" s="225"/>
      <c r="E53" s="9"/>
      <c r="F53" s="9"/>
      <c r="G53" s="176"/>
      <c r="H53" s="176"/>
    </row>
    <row r="54" spans="1:8" ht="30" customHeight="1">
      <c r="A54" s="4">
        <v>11</v>
      </c>
      <c r="B54" s="223"/>
      <c r="C54" s="224"/>
      <c r="D54" s="225"/>
      <c r="E54" s="9"/>
      <c r="F54" s="9"/>
      <c r="G54" s="176"/>
      <c r="H54" s="176"/>
    </row>
    <row r="55" spans="1:8" ht="30" customHeight="1">
      <c r="A55" s="4">
        <v>12</v>
      </c>
      <c r="B55" s="223"/>
      <c r="C55" s="224"/>
      <c r="D55" s="225"/>
      <c r="E55" s="9"/>
      <c r="F55" s="9"/>
      <c r="G55" s="176"/>
      <c r="H55" s="176"/>
    </row>
    <row r="56" spans="1:8" ht="30" customHeight="1">
      <c r="A56" s="4">
        <v>13</v>
      </c>
      <c r="B56" s="268"/>
      <c r="C56" s="268"/>
      <c r="D56" s="268"/>
      <c r="E56" s="9"/>
      <c r="F56" s="9"/>
      <c r="G56" s="176"/>
      <c r="H56" s="176"/>
    </row>
    <row r="57" spans="1:8" ht="30" customHeight="1">
      <c r="A57" s="4">
        <v>14</v>
      </c>
      <c r="B57" s="268"/>
      <c r="C57" s="268"/>
      <c r="D57" s="268"/>
      <c r="E57" s="9"/>
      <c r="F57" s="9"/>
      <c r="G57" s="176"/>
      <c r="H57" s="176"/>
    </row>
    <row r="58" spans="1:8" ht="30" customHeight="1">
      <c r="A58" s="4">
        <v>15</v>
      </c>
      <c r="B58" s="268"/>
      <c r="C58" s="268"/>
      <c r="D58" s="268"/>
      <c r="E58" s="9"/>
      <c r="F58" s="9"/>
      <c r="G58" s="176"/>
      <c r="H58" s="176"/>
    </row>
    <row r="59" spans="1:8" ht="30" customHeight="1">
      <c r="A59" s="4">
        <v>16</v>
      </c>
      <c r="B59" s="268"/>
      <c r="C59" s="268"/>
      <c r="D59" s="268"/>
      <c r="E59" s="9"/>
      <c r="F59" s="9"/>
      <c r="G59" s="176"/>
      <c r="H59" s="176"/>
    </row>
    <row r="60" spans="1:8" ht="30" customHeight="1">
      <c r="A60" s="4">
        <v>17</v>
      </c>
      <c r="B60" s="268"/>
      <c r="C60" s="268"/>
      <c r="D60" s="268"/>
      <c r="E60" s="9"/>
      <c r="F60" s="9"/>
      <c r="G60" s="176"/>
      <c r="H60" s="176"/>
    </row>
    <row r="61" spans="1:8" ht="30" customHeight="1">
      <c r="A61" s="4">
        <v>18</v>
      </c>
      <c r="B61" s="268"/>
      <c r="C61" s="268"/>
      <c r="D61" s="268"/>
      <c r="E61" s="9"/>
      <c r="F61" s="9"/>
      <c r="G61" s="176"/>
      <c r="H61" s="176"/>
    </row>
    <row r="62" spans="1:8" ht="30" customHeight="1">
      <c r="A62" s="4">
        <v>19</v>
      </c>
      <c r="B62" s="268"/>
      <c r="C62" s="268"/>
      <c r="D62" s="268"/>
      <c r="E62" s="9"/>
      <c r="F62" s="9"/>
      <c r="G62" s="176"/>
      <c r="H62" s="176"/>
    </row>
    <row r="63" spans="1:8" ht="30" customHeight="1">
      <c r="A63" s="4">
        <v>20</v>
      </c>
      <c r="B63" s="268"/>
      <c r="C63" s="268"/>
      <c r="D63" s="268"/>
      <c r="E63" s="9"/>
      <c r="F63" s="9"/>
      <c r="G63" s="176"/>
      <c r="H63" s="176"/>
    </row>
    <row r="64" spans="1:8" ht="30" customHeight="1">
      <c r="A64" s="26"/>
      <c r="B64" s="26"/>
      <c r="C64" s="26"/>
      <c r="D64" s="27" t="s">
        <v>10</v>
      </c>
      <c r="E64" s="28">
        <f>SUM(E44:E63)</f>
        <v>0</v>
      </c>
      <c r="F64" s="28">
        <f>SUM(F44:F63)</f>
        <v>0</v>
      </c>
      <c r="G64" s="26"/>
      <c r="H64" s="26"/>
    </row>
    <row r="65" spans="1:9" ht="30" customHeight="1" thickBot="1">
      <c r="A65" s="26"/>
      <c r="B65" s="26"/>
      <c r="C65" s="26"/>
      <c r="D65" s="2"/>
      <c r="E65" s="272" t="s">
        <v>21</v>
      </c>
      <c r="F65" s="272"/>
      <c r="G65" s="26"/>
      <c r="H65" s="26"/>
    </row>
    <row r="66" spans="1:9" ht="30" customHeight="1">
      <c r="A66" s="26"/>
      <c r="B66" s="26"/>
      <c r="C66" s="26"/>
      <c r="D66" s="2"/>
      <c r="E66" s="281">
        <f>SUM(E64:F64)</f>
        <v>0</v>
      </c>
      <c r="F66" s="282"/>
      <c r="G66" s="26"/>
      <c r="H66" s="26"/>
    </row>
    <row r="69" spans="1:9" ht="36" customHeight="1">
      <c r="A69" s="274" t="s">
        <v>302</v>
      </c>
      <c r="B69" s="275"/>
      <c r="C69" s="275"/>
      <c r="D69" s="275"/>
      <c r="E69" s="40"/>
      <c r="F69" s="40"/>
      <c r="G69" s="40"/>
      <c r="H69" s="40"/>
      <c r="I69" s="40"/>
    </row>
    <row r="71" spans="1:9" ht="20.100000000000001" customHeight="1">
      <c r="A71" s="269" t="s">
        <v>24</v>
      </c>
      <c r="B71" s="270"/>
      <c r="C71" s="270"/>
      <c r="D71" s="271"/>
      <c r="E71" s="5"/>
      <c r="F71" s="5"/>
      <c r="G71" s="5"/>
      <c r="H71" s="5"/>
      <c r="I71" s="5"/>
    </row>
    <row r="72" spans="1:9" ht="45.75" customHeight="1">
      <c r="A72" s="41" t="s">
        <v>7</v>
      </c>
      <c r="B72" s="43" t="s">
        <v>295</v>
      </c>
      <c r="C72" s="42" t="s">
        <v>292</v>
      </c>
      <c r="D72" s="41" t="s">
        <v>293</v>
      </c>
      <c r="F72" s="33"/>
      <c r="G72" s="40"/>
      <c r="H72" s="40"/>
    </row>
    <row r="73" spans="1:9" s="14" customFormat="1" ht="18" customHeight="1" thickBot="1">
      <c r="A73" s="1">
        <v>1</v>
      </c>
      <c r="B73" s="1">
        <v>2</v>
      </c>
      <c r="C73" s="1">
        <v>3</v>
      </c>
      <c r="D73" s="1">
        <v>4</v>
      </c>
      <c r="E73" s="35"/>
      <c r="F73" s="35"/>
      <c r="G73" s="35"/>
      <c r="H73" s="35"/>
      <c r="I73" s="34"/>
    </row>
    <row r="74" spans="1:9" s="14" customFormat="1" ht="33" customHeight="1">
      <c r="A74" s="3">
        <v>1</v>
      </c>
      <c r="B74" s="8"/>
      <c r="C74" s="8"/>
      <c r="D74" s="8"/>
      <c r="E74" s="36"/>
      <c r="F74" s="36"/>
      <c r="G74" s="37"/>
      <c r="H74" s="37"/>
      <c r="I74" s="16"/>
    </row>
    <row r="75" spans="1:9" s="14" customFormat="1" ht="30.75" customHeight="1">
      <c r="A75" s="4">
        <v>2</v>
      </c>
      <c r="B75" s="7"/>
      <c r="C75" s="7"/>
      <c r="D75" s="7"/>
      <c r="E75" s="36"/>
      <c r="F75" s="36"/>
      <c r="G75" s="37"/>
      <c r="H75" s="37"/>
      <c r="I75" s="16"/>
    </row>
    <row r="76" spans="1:9" s="24" customFormat="1" ht="30.75" customHeight="1">
      <c r="A76" s="4">
        <v>3</v>
      </c>
      <c r="B76" s="7"/>
      <c r="C76" s="7"/>
      <c r="D76" s="7"/>
      <c r="E76" s="36"/>
      <c r="F76" s="36"/>
      <c r="G76" s="37"/>
      <c r="H76" s="37"/>
      <c r="I76" s="16"/>
    </row>
    <row r="77" spans="1:9" s="14" customFormat="1" ht="30" customHeight="1">
      <c r="A77" s="4">
        <v>4</v>
      </c>
      <c r="B77" s="7"/>
      <c r="C77" s="7"/>
      <c r="D77" s="7"/>
      <c r="E77" s="36"/>
      <c r="F77" s="36"/>
      <c r="G77" s="37"/>
      <c r="H77" s="37"/>
      <c r="I77" s="16"/>
    </row>
    <row r="78" spans="1:9" s="14" customFormat="1" ht="30" customHeight="1">
      <c r="A78" s="4">
        <v>5</v>
      </c>
      <c r="B78" s="7"/>
      <c r="C78" s="7"/>
      <c r="D78" s="7"/>
      <c r="E78" s="36"/>
      <c r="F78" s="36"/>
      <c r="G78" s="37"/>
      <c r="H78" s="37"/>
      <c r="I78" s="16"/>
    </row>
    <row r="79" spans="1:9" s="14" customFormat="1" ht="30" customHeight="1">
      <c r="A79" s="4">
        <v>6</v>
      </c>
      <c r="B79" s="7"/>
      <c r="C79" s="7"/>
      <c r="D79" s="7"/>
      <c r="E79" s="36"/>
      <c r="F79" s="36"/>
      <c r="G79" s="37"/>
      <c r="H79" s="37"/>
      <c r="I79" s="16"/>
    </row>
    <row r="80" spans="1:9" s="14" customFormat="1" ht="30" customHeight="1">
      <c r="A80" s="4">
        <v>7</v>
      </c>
      <c r="B80" s="7"/>
      <c r="C80" s="7"/>
      <c r="D80" s="7"/>
      <c r="E80" s="36"/>
      <c r="F80" s="36"/>
      <c r="G80" s="37"/>
      <c r="H80" s="37"/>
      <c r="I80" s="16"/>
    </row>
    <row r="81" spans="1:9" s="14" customFormat="1" ht="30" customHeight="1">
      <c r="A81" s="4">
        <v>8</v>
      </c>
      <c r="B81" s="7"/>
      <c r="C81" s="7"/>
      <c r="D81" s="7"/>
      <c r="E81" s="36"/>
      <c r="F81" s="36"/>
      <c r="G81" s="37"/>
      <c r="H81" s="37"/>
      <c r="I81" s="16"/>
    </row>
    <row r="82" spans="1:9" s="14" customFormat="1" ht="30" customHeight="1">
      <c r="A82" s="4">
        <v>9</v>
      </c>
      <c r="B82" s="7"/>
      <c r="C82" s="7"/>
      <c r="D82" s="7"/>
      <c r="E82" s="36"/>
      <c r="F82" s="36"/>
      <c r="G82" s="37"/>
      <c r="H82" s="37"/>
      <c r="I82" s="16"/>
    </row>
    <row r="83" spans="1:9" s="14" customFormat="1" ht="30" customHeight="1">
      <c r="A83" s="4">
        <v>10</v>
      </c>
      <c r="B83" s="7"/>
      <c r="C83" s="7"/>
      <c r="D83" s="7"/>
      <c r="E83" s="36"/>
      <c r="F83" s="36"/>
      <c r="G83" s="37"/>
      <c r="H83" s="37"/>
      <c r="I83" s="16"/>
    </row>
    <row r="84" spans="1:9" s="14" customFormat="1" ht="30" customHeight="1">
      <c r="A84" s="27" t="s">
        <v>10</v>
      </c>
      <c r="B84" s="38">
        <f>SUM(B74:B83)</f>
        <v>0</v>
      </c>
      <c r="C84" s="39"/>
      <c r="G84" s="26"/>
      <c r="H84" s="26"/>
      <c r="I84" s="16"/>
    </row>
    <row r="85" spans="1:9" s="14" customFormat="1" ht="30" customHeight="1">
      <c r="A85" s="2"/>
      <c r="B85" s="263"/>
      <c r="C85" s="263"/>
      <c r="G85" s="26"/>
      <c r="H85" s="26"/>
      <c r="I85" s="16"/>
    </row>
    <row r="87" spans="1:9" s="21" customFormat="1" ht="57" customHeight="1">
      <c r="A87" s="276" t="s">
        <v>536</v>
      </c>
      <c r="B87" s="276"/>
      <c r="C87" s="276"/>
      <c r="D87" s="276"/>
      <c r="E87" s="276"/>
      <c r="F87" s="276"/>
      <c r="G87" s="276"/>
      <c r="H87" s="276"/>
    </row>
    <row r="89" spans="1:9" s="14" customFormat="1" ht="20.100000000000001" customHeight="1">
      <c r="A89" s="194" t="s">
        <v>304</v>
      </c>
      <c r="B89" s="195"/>
      <c r="C89" s="195"/>
      <c r="D89" s="195"/>
      <c r="E89" s="195"/>
      <c r="F89" s="195"/>
      <c r="G89" s="195"/>
      <c r="H89" s="195"/>
    </row>
    <row r="90" spans="1:9" s="14" customFormat="1" ht="65.25" customHeight="1">
      <c r="A90" s="277" t="s">
        <v>26</v>
      </c>
      <c r="B90" s="196" t="s">
        <v>514</v>
      </c>
      <c r="C90" s="196" t="s">
        <v>525</v>
      </c>
      <c r="D90" s="196"/>
      <c r="E90" s="196"/>
      <c r="F90" s="196"/>
      <c r="G90" s="196" t="s">
        <v>531</v>
      </c>
      <c r="H90" s="196"/>
    </row>
    <row r="91" spans="1:9" s="14" customFormat="1" ht="134.25" customHeight="1">
      <c r="A91" s="277"/>
      <c r="B91" s="196"/>
      <c r="C91" s="174" t="s">
        <v>512</v>
      </c>
      <c r="D91" s="174" t="s">
        <v>527</v>
      </c>
      <c r="E91" s="174" t="s">
        <v>526</v>
      </c>
      <c r="F91" s="174" t="s">
        <v>528</v>
      </c>
      <c r="G91" s="174" t="s">
        <v>532</v>
      </c>
      <c r="H91" s="174" t="s">
        <v>533</v>
      </c>
    </row>
    <row r="92" spans="1:9" s="24" customFormat="1" ht="20.100000000000001" customHeight="1" thickBot="1">
      <c r="A92" s="1">
        <v>1</v>
      </c>
      <c r="B92" s="1">
        <v>2</v>
      </c>
      <c r="C92" s="1">
        <v>3</v>
      </c>
      <c r="D92" s="1">
        <v>4</v>
      </c>
      <c r="E92" s="1">
        <v>5</v>
      </c>
      <c r="F92" s="1">
        <v>6</v>
      </c>
      <c r="G92" s="1">
        <v>7</v>
      </c>
      <c r="H92" s="1">
        <v>8</v>
      </c>
    </row>
    <row r="93" spans="1:9" s="14" customFormat="1" ht="30" customHeight="1">
      <c r="A93" s="3">
        <v>1</v>
      </c>
      <c r="B93" s="168"/>
      <c r="C93" s="171"/>
      <c r="D93" s="171"/>
      <c r="E93" s="171"/>
      <c r="F93" s="171"/>
      <c r="G93" s="175"/>
      <c r="H93" s="175"/>
    </row>
    <row r="94" spans="1:9" s="14" customFormat="1" ht="30" customHeight="1">
      <c r="A94" s="3">
        <v>2</v>
      </c>
      <c r="B94" s="168"/>
      <c r="C94" s="171"/>
      <c r="D94" s="171"/>
      <c r="E94" s="171"/>
      <c r="F94" s="171"/>
      <c r="G94" s="175"/>
      <c r="H94" s="175"/>
    </row>
    <row r="95" spans="1:9" s="14" customFormat="1" ht="30" customHeight="1">
      <c r="A95" s="3">
        <v>3</v>
      </c>
      <c r="B95" s="168"/>
      <c r="C95" s="171"/>
      <c r="D95" s="171"/>
      <c r="E95" s="171"/>
      <c r="F95" s="171"/>
      <c r="G95" s="175"/>
      <c r="H95" s="175"/>
    </row>
    <row r="96" spans="1:9" s="14" customFormat="1" ht="30" customHeight="1">
      <c r="A96" s="3">
        <v>4</v>
      </c>
      <c r="B96" s="168"/>
      <c r="C96" s="171"/>
      <c r="D96" s="171"/>
      <c r="E96" s="171"/>
      <c r="F96" s="171"/>
      <c r="G96" s="175"/>
      <c r="H96" s="175"/>
    </row>
    <row r="97" spans="1:8" s="14" customFormat="1" ht="30" customHeight="1">
      <c r="A97" s="3">
        <v>5</v>
      </c>
      <c r="B97" s="168"/>
      <c r="C97" s="171"/>
      <c r="D97" s="171"/>
      <c r="E97" s="171"/>
      <c r="F97" s="171"/>
      <c r="G97" s="175"/>
      <c r="H97" s="175"/>
    </row>
    <row r="98" spans="1:8" s="14" customFormat="1" ht="30" customHeight="1">
      <c r="A98" s="3">
        <v>6</v>
      </c>
      <c r="B98" s="167"/>
      <c r="C98" s="171"/>
      <c r="D98" s="171"/>
      <c r="E98" s="171"/>
      <c r="F98" s="171"/>
      <c r="G98" s="175"/>
      <c r="H98" s="175"/>
    </row>
    <row r="99" spans="1:8" s="14" customFormat="1" ht="30" customHeight="1">
      <c r="A99" s="3">
        <v>7</v>
      </c>
      <c r="B99" s="167"/>
      <c r="C99" s="171"/>
      <c r="D99" s="171"/>
      <c r="E99" s="171"/>
      <c r="F99" s="171"/>
      <c r="G99" s="175"/>
      <c r="H99" s="175"/>
    </row>
    <row r="100" spans="1:8" s="14" customFormat="1" ht="30" customHeight="1">
      <c r="A100" s="3">
        <v>8</v>
      </c>
      <c r="B100" s="167"/>
      <c r="C100" s="171"/>
      <c r="D100" s="171"/>
      <c r="E100" s="171"/>
      <c r="F100" s="171"/>
      <c r="G100" s="175"/>
      <c r="H100" s="175"/>
    </row>
    <row r="101" spans="1:8" s="14" customFormat="1" ht="30" customHeight="1">
      <c r="A101" s="3">
        <v>9</v>
      </c>
      <c r="B101" s="167"/>
      <c r="C101" s="171"/>
      <c r="D101" s="171"/>
      <c r="E101" s="171"/>
      <c r="F101" s="171"/>
      <c r="G101" s="175"/>
      <c r="H101" s="175"/>
    </row>
    <row r="102" spans="1:8" s="14" customFormat="1" ht="30" customHeight="1">
      <c r="A102" s="3">
        <v>10</v>
      </c>
      <c r="B102" s="167"/>
      <c r="C102" s="171"/>
      <c r="D102" s="171"/>
      <c r="E102" s="171"/>
      <c r="F102" s="171"/>
      <c r="G102" s="175"/>
      <c r="H102" s="175"/>
    </row>
    <row r="103" spans="1:8" s="14" customFormat="1" ht="30" customHeight="1">
      <c r="A103" s="2"/>
      <c r="B103" s="6" t="s">
        <v>513</v>
      </c>
      <c r="C103" s="170">
        <f>SUM(C93:C102)</f>
        <v>0</v>
      </c>
      <c r="D103" s="170">
        <f>SUM(D93:D102)</f>
        <v>0</v>
      </c>
      <c r="E103" s="170">
        <f>SUM(E93:E102)</f>
        <v>0</v>
      </c>
      <c r="F103" s="170">
        <f>SUM(F93:F102)</f>
        <v>0</v>
      </c>
      <c r="G103" s="170"/>
      <c r="H103" s="170"/>
    </row>
    <row r="107" spans="1:8" s="14" customFormat="1" ht="20.100000000000001" customHeight="1">
      <c r="A107" s="231" t="s">
        <v>537</v>
      </c>
      <c r="B107" s="231"/>
      <c r="C107" s="231"/>
      <c r="D107" s="231"/>
      <c r="E107" s="231"/>
      <c r="F107" s="231"/>
      <c r="G107" s="231"/>
      <c r="H107" s="231"/>
    </row>
    <row r="108" spans="1:8" s="14" customFormat="1" ht="51" customHeight="1">
      <c r="A108" s="265" t="s">
        <v>12</v>
      </c>
      <c r="B108" s="202"/>
      <c r="C108" s="203"/>
      <c r="D108" s="204"/>
      <c r="E108" s="238" t="s">
        <v>525</v>
      </c>
      <c r="F108" s="238"/>
      <c r="G108" s="238"/>
      <c r="H108" s="238"/>
    </row>
    <row r="109" spans="1:8" s="14" customFormat="1" ht="20.100000000000001" customHeight="1">
      <c r="A109" s="265"/>
      <c r="B109" s="202"/>
      <c r="C109" s="203"/>
      <c r="D109" s="204"/>
      <c r="E109" s="196" t="s">
        <v>518</v>
      </c>
      <c r="F109" s="196"/>
      <c r="G109" s="196" t="s">
        <v>519</v>
      </c>
      <c r="H109" s="196"/>
    </row>
    <row r="110" spans="1:8" s="14" customFormat="1" ht="40.5" customHeight="1">
      <c r="A110" s="266"/>
      <c r="B110" s="205"/>
      <c r="C110" s="206"/>
      <c r="D110" s="207"/>
      <c r="E110" s="196"/>
      <c r="F110" s="196"/>
      <c r="G110" s="196"/>
      <c r="H110" s="196"/>
    </row>
    <row r="111" spans="1:8" s="24" customFormat="1" ht="20.100000000000001" customHeight="1" thickBot="1">
      <c r="A111" s="1">
        <v>1</v>
      </c>
      <c r="B111" s="264">
        <v>2</v>
      </c>
      <c r="C111" s="264"/>
      <c r="D111" s="264"/>
      <c r="E111" s="267">
        <v>3</v>
      </c>
      <c r="F111" s="267"/>
      <c r="G111" s="264">
        <v>4</v>
      </c>
      <c r="H111" s="264"/>
    </row>
    <row r="112" spans="1:8" s="14" customFormat="1" ht="30" customHeight="1">
      <c r="A112" s="220">
        <v>1</v>
      </c>
      <c r="B112" s="284" t="s">
        <v>13</v>
      </c>
      <c r="C112" s="284"/>
      <c r="D112" s="284"/>
      <c r="E112" s="283"/>
      <c r="F112" s="283"/>
      <c r="G112" s="283"/>
      <c r="H112" s="283"/>
    </row>
    <row r="113" spans="1:8" s="14" customFormat="1" ht="30" customHeight="1">
      <c r="A113" s="221"/>
      <c r="B113" s="222" t="s">
        <v>14</v>
      </c>
      <c r="C113" s="222"/>
      <c r="D113" s="222"/>
      <c r="E113" s="198"/>
      <c r="F113" s="198"/>
      <c r="G113" s="198"/>
      <c r="H113" s="198"/>
    </row>
    <row r="114" spans="1:8" s="14" customFormat="1" ht="30" customHeight="1">
      <c r="A114" s="219">
        <v>2</v>
      </c>
      <c r="B114" s="284" t="s">
        <v>13</v>
      </c>
      <c r="C114" s="284"/>
      <c r="D114" s="284"/>
      <c r="E114" s="200"/>
      <c r="F114" s="201"/>
      <c r="G114" s="200"/>
      <c r="H114" s="201"/>
    </row>
    <row r="115" spans="1:8" s="14" customFormat="1" ht="30" customHeight="1">
      <c r="A115" s="220"/>
      <c r="B115" s="222" t="s">
        <v>14</v>
      </c>
      <c r="C115" s="222"/>
      <c r="D115" s="222"/>
      <c r="E115" s="200"/>
      <c r="F115" s="201"/>
      <c r="G115" s="200"/>
      <c r="H115" s="201"/>
    </row>
    <row r="116" spans="1:8" s="14" customFormat="1" ht="30" customHeight="1">
      <c r="A116" s="220">
        <v>3</v>
      </c>
      <c r="B116" s="284" t="s">
        <v>13</v>
      </c>
      <c r="C116" s="284"/>
      <c r="D116" s="284"/>
      <c r="E116" s="200"/>
      <c r="F116" s="201"/>
      <c r="G116" s="200"/>
      <c r="H116" s="201"/>
    </row>
    <row r="117" spans="1:8" s="14" customFormat="1" ht="30" customHeight="1">
      <c r="A117" s="221"/>
      <c r="B117" s="222" t="s">
        <v>14</v>
      </c>
      <c r="C117" s="222"/>
      <c r="D117" s="222"/>
      <c r="E117" s="200"/>
      <c r="F117" s="201"/>
      <c r="G117" s="200"/>
      <c r="H117" s="201"/>
    </row>
    <row r="118" spans="1:8" s="14" customFormat="1" ht="30" customHeight="1">
      <c r="A118" s="219">
        <v>4</v>
      </c>
      <c r="B118" s="284" t="s">
        <v>13</v>
      </c>
      <c r="C118" s="284"/>
      <c r="D118" s="284"/>
      <c r="E118" s="200"/>
      <c r="F118" s="201"/>
      <c r="G118" s="200"/>
      <c r="H118" s="201"/>
    </row>
    <row r="119" spans="1:8" s="14" customFormat="1" ht="30" customHeight="1">
      <c r="A119" s="220"/>
      <c r="B119" s="222" t="s">
        <v>14</v>
      </c>
      <c r="C119" s="222"/>
      <c r="D119" s="222"/>
      <c r="E119" s="200"/>
      <c r="F119" s="201"/>
      <c r="G119" s="200"/>
      <c r="H119" s="201"/>
    </row>
    <row r="120" spans="1:8" s="14" customFormat="1" ht="30" customHeight="1">
      <c r="A120" s="220">
        <v>5</v>
      </c>
      <c r="B120" s="284" t="s">
        <v>13</v>
      </c>
      <c r="C120" s="284"/>
      <c r="D120" s="284"/>
      <c r="E120" s="200"/>
      <c r="F120" s="201"/>
      <c r="G120" s="200"/>
      <c r="H120" s="201"/>
    </row>
    <row r="121" spans="1:8" s="14" customFormat="1" ht="30" customHeight="1">
      <c r="A121" s="221"/>
      <c r="B121" s="222" t="s">
        <v>14</v>
      </c>
      <c r="C121" s="222"/>
      <c r="D121" s="222"/>
      <c r="E121" s="200"/>
      <c r="F121" s="201"/>
      <c r="G121" s="200"/>
      <c r="H121" s="201"/>
    </row>
    <row r="122" spans="1:8" s="14" customFormat="1" ht="30" customHeight="1">
      <c r="A122" s="219">
        <v>6</v>
      </c>
      <c r="B122" s="222" t="s">
        <v>13</v>
      </c>
      <c r="C122" s="222"/>
      <c r="D122" s="222"/>
      <c r="E122" s="198"/>
      <c r="F122" s="198"/>
      <c r="G122" s="198"/>
      <c r="H122" s="198"/>
    </row>
    <row r="123" spans="1:8" s="14" customFormat="1" ht="30" customHeight="1">
      <c r="A123" s="220"/>
      <c r="B123" s="222" t="s">
        <v>14</v>
      </c>
      <c r="C123" s="222"/>
      <c r="D123" s="222"/>
      <c r="E123" s="198"/>
      <c r="F123" s="198"/>
      <c r="G123" s="198"/>
      <c r="H123" s="198"/>
    </row>
    <row r="124" spans="1:8" s="14" customFormat="1" ht="30" customHeight="1">
      <c r="A124" s="220">
        <v>7</v>
      </c>
      <c r="B124" s="222" t="s">
        <v>13</v>
      </c>
      <c r="C124" s="222"/>
      <c r="D124" s="222"/>
      <c r="E124" s="198"/>
      <c r="F124" s="198"/>
      <c r="G124" s="198"/>
      <c r="H124" s="198"/>
    </row>
    <row r="125" spans="1:8" s="14" customFormat="1" ht="30" customHeight="1">
      <c r="A125" s="221"/>
      <c r="B125" s="222" t="s">
        <v>14</v>
      </c>
      <c r="C125" s="222"/>
      <c r="D125" s="222"/>
      <c r="E125" s="198"/>
      <c r="F125" s="198"/>
      <c r="G125" s="198"/>
      <c r="H125" s="198"/>
    </row>
    <row r="126" spans="1:8" s="14" customFormat="1" ht="30" customHeight="1">
      <c r="A126" s="219">
        <v>8</v>
      </c>
      <c r="B126" s="222" t="s">
        <v>13</v>
      </c>
      <c r="C126" s="222"/>
      <c r="D126" s="222"/>
      <c r="E126" s="198"/>
      <c r="F126" s="198"/>
      <c r="G126" s="198"/>
      <c r="H126" s="198"/>
    </row>
    <row r="127" spans="1:8" s="14" customFormat="1" ht="30" customHeight="1">
      <c r="A127" s="220"/>
      <c r="B127" s="222" t="s">
        <v>14</v>
      </c>
      <c r="C127" s="222"/>
      <c r="D127" s="222"/>
      <c r="E127" s="198"/>
      <c r="F127" s="198"/>
      <c r="G127" s="198"/>
      <c r="H127" s="198"/>
    </row>
    <row r="128" spans="1:8" s="14" customFormat="1" ht="30" customHeight="1">
      <c r="A128" s="220">
        <v>9</v>
      </c>
      <c r="B128" s="284" t="s">
        <v>13</v>
      </c>
      <c r="C128" s="284"/>
      <c r="D128" s="284"/>
      <c r="E128" s="200"/>
      <c r="F128" s="201"/>
      <c r="G128" s="200"/>
      <c r="H128" s="201"/>
    </row>
    <row r="129" spans="1:8" s="14" customFormat="1" ht="30" customHeight="1">
      <c r="A129" s="221"/>
      <c r="B129" s="222" t="s">
        <v>14</v>
      </c>
      <c r="C129" s="222"/>
      <c r="D129" s="222"/>
      <c r="E129" s="200"/>
      <c r="F129" s="201"/>
      <c r="G129" s="200"/>
      <c r="H129" s="201"/>
    </row>
    <row r="130" spans="1:8" s="14" customFormat="1" ht="30" customHeight="1">
      <c r="A130" s="219">
        <v>10</v>
      </c>
      <c r="B130" s="222" t="s">
        <v>13</v>
      </c>
      <c r="C130" s="222"/>
      <c r="D130" s="222"/>
      <c r="E130" s="198"/>
      <c r="F130" s="198"/>
      <c r="G130" s="198"/>
      <c r="H130" s="198"/>
    </row>
    <row r="131" spans="1:8" s="14" customFormat="1" ht="30" customHeight="1" thickBot="1">
      <c r="A131" s="220"/>
      <c r="B131" s="197" t="s">
        <v>14</v>
      </c>
      <c r="C131" s="197"/>
      <c r="D131" s="197"/>
      <c r="E131" s="199"/>
      <c r="F131" s="199"/>
      <c r="G131" s="199"/>
      <c r="H131" s="199"/>
    </row>
    <row r="132" spans="1:8" s="14" customFormat="1" ht="30" customHeight="1" thickBot="1">
      <c r="A132" s="2"/>
      <c r="B132" s="288" t="s">
        <v>513</v>
      </c>
      <c r="C132" s="288"/>
      <c r="D132" s="288"/>
      <c r="E132" s="273">
        <f>SUM(E112:F131)</f>
        <v>0</v>
      </c>
      <c r="F132" s="273"/>
      <c r="G132" s="273">
        <f>SUM(G112:H131)</f>
        <v>0</v>
      </c>
      <c r="H132" s="273"/>
    </row>
    <row r="134" spans="1:8" ht="20.100000000000001" customHeight="1" thickBot="1">
      <c r="A134" s="290" t="s">
        <v>538</v>
      </c>
      <c r="B134" s="291"/>
      <c r="C134" s="291"/>
      <c r="D134" s="292"/>
      <c r="E134" s="5"/>
    </row>
    <row r="135" spans="1:8" ht="30" customHeight="1" thickTop="1">
      <c r="A135" s="266" t="s">
        <v>15</v>
      </c>
      <c r="B135" s="266"/>
      <c r="C135" s="266" t="s">
        <v>16</v>
      </c>
      <c r="D135" s="266"/>
      <c r="E135" s="5"/>
    </row>
    <row r="136" spans="1:8" ht="30" customHeight="1">
      <c r="A136" s="289"/>
      <c r="B136" s="289"/>
      <c r="C136" s="289"/>
      <c r="D136" s="289"/>
      <c r="E136" s="14"/>
    </row>
    <row r="140" spans="1:8" ht="132" customHeight="1">
      <c r="A140" s="286" t="s">
        <v>516</v>
      </c>
      <c r="B140" s="286"/>
      <c r="C140" s="286"/>
      <c r="D140" s="286"/>
      <c r="E140" s="286"/>
      <c r="F140" s="286"/>
      <c r="G140" s="286"/>
      <c r="H140" s="286"/>
    </row>
    <row r="141" spans="1:8" ht="20.25" customHeight="1">
      <c r="A141" s="44"/>
      <c r="B141" s="44"/>
      <c r="C141" s="44"/>
      <c r="D141" s="44"/>
      <c r="E141" s="44"/>
      <c r="F141" s="44"/>
      <c r="G141" s="44"/>
      <c r="H141" s="44"/>
    </row>
    <row r="142" spans="1:8" ht="20.100000000000001" customHeight="1" thickBot="1">
      <c r="A142" s="300" t="s">
        <v>298</v>
      </c>
      <c r="B142" s="300"/>
      <c r="C142" s="300"/>
      <c r="D142" s="300"/>
      <c r="E142" s="300"/>
      <c r="F142" s="300"/>
      <c r="G142" s="300"/>
      <c r="H142" s="300"/>
    </row>
    <row r="143" spans="1:8" ht="20.100000000000001" customHeight="1" thickTop="1">
      <c r="A143" s="210"/>
      <c r="B143" s="211"/>
      <c r="C143" s="211"/>
      <c r="D143" s="211"/>
      <c r="E143" s="211"/>
      <c r="F143" s="211"/>
      <c r="G143" s="211"/>
      <c r="H143" s="212"/>
    </row>
    <row r="144" spans="1:8" ht="20.100000000000001" customHeight="1">
      <c r="A144" s="213"/>
      <c r="B144" s="214"/>
      <c r="C144" s="214"/>
      <c r="D144" s="214"/>
      <c r="E144" s="214"/>
      <c r="F144" s="214"/>
      <c r="G144" s="214"/>
      <c r="H144" s="215"/>
    </row>
    <row r="145" spans="1:8" ht="20.100000000000001" customHeight="1">
      <c r="A145" s="213"/>
      <c r="B145" s="214"/>
      <c r="C145" s="214"/>
      <c r="D145" s="214"/>
      <c r="E145" s="214"/>
      <c r="F145" s="214"/>
      <c r="G145" s="214"/>
      <c r="H145" s="215"/>
    </row>
    <row r="146" spans="1:8" ht="20.100000000000001" customHeight="1">
      <c r="A146" s="213"/>
      <c r="B146" s="214"/>
      <c r="C146" s="214"/>
      <c r="D146" s="214"/>
      <c r="E146" s="214"/>
      <c r="F146" s="214"/>
      <c r="G146" s="214"/>
      <c r="H146" s="215"/>
    </row>
    <row r="147" spans="1:8" ht="20.100000000000001" customHeight="1">
      <c r="A147" s="213"/>
      <c r="B147" s="214"/>
      <c r="C147" s="214"/>
      <c r="D147" s="214"/>
      <c r="E147" s="214"/>
      <c r="F147" s="214"/>
      <c r="G147" s="214"/>
      <c r="H147" s="215"/>
    </row>
    <row r="148" spans="1:8" ht="20.100000000000001" customHeight="1">
      <c r="A148" s="213"/>
      <c r="B148" s="214"/>
      <c r="C148" s="214"/>
      <c r="D148" s="214"/>
      <c r="E148" s="214"/>
      <c r="F148" s="214"/>
      <c r="G148" s="214"/>
      <c r="H148" s="215"/>
    </row>
    <row r="149" spans="1:8" ht="20.100000000000001" customHeight="1">
      <c r="A149" s="213"/>
      <c r="B149" s="214"/>
      <c r="C149" s="214"/>
      <c r="D149" s="214"/>
      <c r="E149" s="214"/>
      <c r="F149" s="214"/>
      <c r="G149" s="214"/>
      <c r="H149" s="215"/>
    </row>
    <row r="150" spans="1:8" ht="408.95" customHeight="1">
      <c r="A150" s="216"/>
      <c r="B150" s="217"/>
      <c r="C150" s="217"/>
      <c r="D150" s="217"/>
      <c r="E150" s="217"/>
      <c r="F150" s="217"/>
      <c r="G150" s="217"/>
      <c r="H150" s="218"/>
    </row>
    <row r="151" spans="1:8" ht="37.5" customHeight="1"/>
    <row r="152" spans="1:8" ht="19.5" customHeight="1">
      <c r="A152" s="301" t="s">
        <v>515</v>
      </c>
      <c r="B152" s="301"/>
      <c r="C152" s="301"/>
      <c r="D152" s="301"/>
      <c r="E152" s="301"/>
      <c r="F152" s="301"/>
      <c r="G152" s="301"/>
      <c r="H152" s="301"/>
    </row>
    <row r="153" spans="1:8" ht="20.100000000000001" customHeight="1">
      <c r="A153" s="213"/>
      <c r="B153" s="214"/>
      <c r="C153" s="214"/>
      <c r="D153" s="214"/>
      <c r="E153" s="214"/>
      <c r="F153" s="214"/>
      <c r="G153" s="214"/>
      <c r="H153" s="215"/>
    </row>
    <row r="154" spans="1:8" ht="20.100000000000001" customHeight="1">
      <c r="A154" s="213"/>
      <c r="B154" s="214"/>
      <c r="C154" s="214"/>
      <c r="D154" s="214"/>
      <c r="E154" s="214"/>
      <c r="F154" s="214"/>
      <c r="G154" s="214"/>
      <c r="H154" s="215"/>
    </row>
    <row r="155" spans="1:8" ht="20.100000000000001" customHeight="1">
      <c r="A155" s="213"/>
      <c r="B155" s="214"/>
      <c r="C155" s="214"/>
      <c r="D155" s="214"/>
      <c r="E155" s="214"/>
      <c r="F155" s="214"/>
      <c r="G155" s="214"/>
      <c r="H155" s="215"/>
    </row>
    <row r="156" spans="1:8" ht="20.100000000000001" customHeight="1">
      <c r="A156" s="213"/>
      <c r="B156" s="214"/>
      <c r="C156" s="214"/>
      <c r="D156" s="214"/>
      <c r="E156" s="214"/>
      <c r="F156" s="214"/>
      <c r="G156" s="214"/>
      <c r="H156" s="215"/>
    </row>
    <row r="157" spans="1:8" ht="20.100000000000001" customHeight="1">
      <c r="A157" s="213"/>
      <c r="B157" s="214"/>
      <c r="C157" s="214"/>
      <c r="D157" s="214"/>
      <c r="E157" s="214"/>
      <c r="F157" s="214"/>
      <c r="G157" s="214"/>
      <c r="H157" s="215"/>
    </row>
    <row r="158" spans="1:8" ht="20.100000000000001" customHeight="1">
      <c r="A158" s="213"/>
      <c r="B158" s="214"/>
      <c r="C158" s="214"/>
      <c r="D158" s="214"/>
      <c r="E158" s="214"/>
      <c r="F158" s="214"/>
      <c r="G158" s="214"/>
      <c r="H158" s="215"/>
    </row>
    <row r="159" spans="1:8" ht="20.100000000000001" customHeight="1">
      <c r="A159" s="213"/>
      <c r="B159" s="214"/>
      <c r="C159" s="214"/>
      <c r="D159" s="214"/>
      <c r="E159" s="214"/>
      <c r="F159" s="214"/>
      <c r="G159" s="214"/>
      <c r="H159" s="215"/>
    </row>
    <row r="160" spans="1:8" ht="408.95" customHeight="1">
      <c r="A160" s="216"/>
      <c r="B160" s="217"/>
      <c r="C160" s="217"/>
      <c r="D160" s="217"/>
      <c r="E160" s="217"/>
      <c r="F160" s="217"/>
      <c r="G160" s="217"/>
      <c r="H160" s="218"/>
    </row>
    <row r="163" spans="1:8" ht="113.25" customHeight="1">
      <c r="A163" s="287" t="s">
        <v>517</v>
      </c>
      <c r="B163" s="287"/>
      <c r="C163" s="287"/>
      <c r="D163" s="287"/>
      <c r="E163" s="287"/>
      <c r="F163" s="287"/>
      <c r="G163" s="287"/>
      <c r="H163" s="287"/>
    </row>
    <row r="164" spans="1:8" ht="20.100000000000001" customHeight="1">
      <c r="A164" s="210"/>
      <c r="B164" s="211"/>
      <c r="C164" s="211"/>
      <c r="D164" s="211"/>
      <c r="E164" s="211"/>
      <c r="F164" s="211"/>
      <c r="G164" s="211"/>
      <c r="H164" s="212"/>
    </row>
    <row r="165" spans="1:8" ht="20.100000000000001" customHeight="1">
      <c r="A165" s="213"/>
      <c r="B165" s="214"/>
      <c r="C165" s="214"/>
      <c r="D165" s="214"/>
      <c r="E165" s="214"/>
      <c r="F165" s="214"/>
      <c r="G165" s="214"/>
      <c r="H165" s="215"/>
    </row>
    <row r="166" spans="1:8" ht="20.100000000000001" customHeight="1">
      <c r="A166" s="213"/>
      <c r="B166" s="214"/>
      <c r="C166" s="214"/>
      <c r="D166" s="214"/>
      <c r="E166" s="214"/>
      <c r="F166" s="214"/>
      <c r="G166" s="214"/>
      <c r="H166" s="215"/>
    </row>
    <row r="167" spans="1:8" ht="20.100000000000001" customHeight="1">
      <c r="A167" s="213"/>
      <c r="B167" s="214"/>
      <c r="C167" s="214"/>
      <c r="D167" s="214"/>
      <c r="E167" s="214"/>
      <c r="F167" s="214"/>
      <c r="G167" s="214"/>
      <c r="H167" s="215"/>
    </row>
    <row r="168" spans="1:8" ht="20.100000000000001" customHeight="1">
      <c r="A168" s="213"/>
      <c r="B168" s="214"/>
      <c r="C168" s="214"/>
      <c r="D168" s="214"/>
      <c r="E168" s="214"/>
      <c r="F168" s="214"/>
      <c r="G168" s="214"/>
      <c r="H168" s="215"/>
    </row>
    <row r="169" spans="1:8" ht="20.100000000000001" customHeight="1">
      <c r="A169" s="213"/>
      <c r="B169" s="214"/>
      <c r="C169" s="214"/>
      <c r="D169" s="214"/>
      <c r="E169" s="214"/>
      <c r="F169" s="214"/>
      <c r="G169" s="214"/>
      <c r="H169" s="215"/>
    </row>
    <row r="170" spans="1:8" ht="20.100000000000001" customHeight="1">
      <c r="A170" s="213"/>
      <c r="B170" s="214"/>
      <c r="C170" s="214"/>
      <c r="D170" s="214"/>
      <c r="E170" s="214"/>
      <c r="F170" s="214"/>
      <c r="G170" s="214"/>
      <c r="H170" s="215"/>
    </row>
    <row r="171" spans="1:8" ht="323.25" customHeight="1">
      <c r="A171" s="216"/>
      <c r="B171" s="217"/>
      <c r="C171" s="217"/>
      <c r="D171" s="217"/>
      <c r="E171" s="217"/>
      <c r="F171" s="217"/>
      <c r="G171" s="217"/>
      <c r="H171" s="218"/>
    </row>
    <row r="173" spans="1:8" ht="20.100000000000001" customHeight="1">
      <c r="A173" s="20" t="s">
        <v>539</v>
      </c>
    </row>
    <row r="174" spans="1:8" ht="120" customHeight="1">
      <c r="A174" s="293" t="s">
        <v>540</v>
      </c>
      <c r="B174" s="294"/>
      <c r="C174" s="294"/>
      <c r="D174" s="294"/>
      <c r="E174" s="294"/>
      <c r="F174" s="294"/>
      <c r="G174" s="295"/>
      <c r="H174" s="193" t="s">
        <v>1</v>
      </c>
    </row>
    <row r="175" spans="1:8" ht="20.100000000000001" customHeight="1">
      <c r="A175" s="192"/>
      <c r="B175" s="192"/>
      <c r="C175" s="192"/>
      <c r="D175" s="192"/>
      <c r="E175" s="192"/>
      <c r="F175" s="192"/>
      <c r="G175" s="192"/>
      <c r="H175" s="192"/>
    </row>
    <row r="176" spans="1:8" s="14" customFormat="1" ht="20.100000000000001" customHeight="1">
      <c r="A176" s="20" t="s">
        <v>541</v>
      </c>
    </row>
    <row r="177" spans="1:8" s="14" customFormat="1" ht="20.100000000000001" customHeight="1"/>
    <row r="178" spans="1:8" s="14" customFormat="1" ht="39.950000000000003" customHeight="1">
      <c r="A178" s="221">
        <v>1</v>
      </c>
      <c r="B178" s="261" t="s">
        <v>22</v>
      </c>
      <c r="C178" s="262"/>
      <c r="D178" s="262"/>
      <c r="E178" s="262"/>
      <c r="F178" s="262"/>
      <c r="G178" s="262"/>
      <c r="H178" s="260"/>
    </row>
    <row r="179" spans="1:8" s="14" customFormat="1" ht="39.950000000000003" customHeight="1">
      <c r="A179" s="221"/>
      <c r="B179" s="280"/>
      <c r="C179" s="280"/>
      <c r="D179" s="280"/>
      <c r="E179" s="280"/>
      <c r="F179" s="280"/>
      <c r="G179" s="280"/>
      <c r="H179" s="260"/>
    </row>
    <row r="180" spans="1:8" s="14" customFormat="1" ht="60" customHeight="1">
      <c r="A180" s="221">
        <v>2</v>
      </c>
      <c r="B180" s="261" t="s">
        <v>27</v>
      </c>
      <c r="C180" s="262"/>
      <c r="D180" s="262"/>
      <c r="E180" s="262"/>
      <c r="F180" s="262"/>
      <c r="G180" s="262"/>
      <c r="H180" s="260"/>
    </row>
    <row r="181" spans="1:8" s="14" customFormat="1" ht="39.75" customHeight="1">
      <c r="A181" s="221"/>
      <c r="B181" s="280"/>
      <c r="C181" s="280"/>
      <c r="D181" s="280"/>
      <c r="E181" s="280"/>
      <c r="F181" s="280"/>
      <c r="G181" s="280"/>
      <c r="H181" s="260"/>
    </row>
    <row r="182" spans="1:8" s="14" customFormat="1" ht="59.25" customHeight="1">
      <c r="A182" s="221">
        <v>3</v>
      </c>
      <c r="B182" s="302" t="s">
        <v>530</v>
      </c>
      <c r="C182" s="303"/>
      <c r="D182" s="303"/>
      <c r="E182" s="303"/>
      <c r="F182" s="303"/>
      <c r="G182" s="304"/>
      <c r="H182" s="308"/>
    </row>
    <row r="183" spans="1:8" s="14" customFormat="1" ht="39.950000000000003" customHeight="1">
      <c r="A183" s="221"/>
      <c r="B183" s="305"/>
      <c r="C183" s="306"/>
      <c r="D183" s="306"/>
      <c r="E183" s="306"/>
      <c r="F183" s="306"/>
      <c r="G183" s="307"/>
      <c r="H183" s="309"/>
    </row>
    <row r="184" spans="1:8" s="14" customFormat="1" ht="60" customHeight="1">
      <c r="A184" s="221">
        <v>4</v>
      </c>
      <c r="B184" s="302" t="s">
        <v>296</v>
      </c>
      <c r="C184" s="303"/>
      <c r="D184" s="303"/>
      <c r="E184" s="303"/>
      <c r="F184" s="303"/>
      <c r="G184" s="304"/>
      <c r="H184" s="308"/>
    </row>
    <row r="185" spans="1:8" s="14" customFormat="1" ht="54.75" customHeight="1">
      <c r="A185" s="221"/>
      <c r="B185" s="305"/>
      <c r="C185" s="306"/>
      <c r="D185" s="306"/>
      <c r="E185" s="306"/>
      <c r="F185" s="306"/>
      <c r="G185" s="307"/>
      <c r="H185" s="309"/>
    </row>
    <row r="186" spans="1:8" s="14" customFormat="1" ht="39.950000000000003" customHeight="1">
      <c r="A186" s="221">
        <v>5</v>
      </c>
      <c r="B186" s="262" t="s">
        <v>294</v>
      </c>
      <c r="C186" s="262"/>
      <c r="D186" s="262"/>
      <c r="E186" s="262"/>
      <c r="F186" s="262"/>
      <c r="G186" s="262"/>
      <c r="H186" s="260"/>
    </row>
    <row r="187" spans="1:8" s="14" customFormat="1" ht="60" customHeight="1">
      <c r="A187" s="221"/>
      <c r="B187" s="279"/>
      <c r="C187" s="279"/>
      <c r="D187" s="279"/>
      <c r="E187" s="279"/>
      <c r="F187" s="279"/>
      <c r="G187" s="279"/>
      <c r="H187" s="260"/>
    </row>
    <row r="190" spans="1:8" ht="20.100000000000001" customHeight="1">
      <c r="A190" s="20" t="s">
        <v>542</v>
      </c>
    </row>
    <row r="191" spans="1:8" ht="20.100000000000001" customHeight="1">
      <c r="A191" s="20"/>
    </row>
    <row r="192" spans="1:8" ht="20.100000000000001" customHeight="1">
      <c r="A192" s="29" t="s">
        <v>524</v>
      </c>
    </row>
    <row r="193" spans="1:8" s="14" customFormat="1" ht="20.100000000000001" customHeight="1"/>
    <row r="194" spans="1:8" s="14" customFormat="1" ht="39.950000000000003" customHeight="1">
      <c r="A194" s="4">
        <v>1</v>
      </c>
      <c r="B194" s="296" t="s">
        <v>28</v>
      </c>
      <c r="C194" s="297"/>
      <c r="D194" s="297"/>
      <c r="E194" s="297"/>
      <c r="F194" s="297"/>
      <c r="G194" s="297"/>
      <c r="H194" s="298"/>
    </row>
    <row r="195" spans="1:8" s="14" customFormat="1" ht="44.25" customHeight="1">
      <c r="A195" s="4">
        <v>2</v>
      </c>
      <c r="B195" s="261" t="s">
        <v>303</v>
      </c>
      <c r="C195" s="261"/>
      <c r="D195" s="261"/>
      <c r="E195" s="261"/>
      <c r="F195" s="261"/>
      <c r="G195" s="261"/>
      <c r="H195" s="261"/>
    </row>
    <row r="196" spans="1:8" s="14" customFormat="1" ht="61.5" customHeight="1">
      <c r="A196" s="4">
        <v>3</v>
      </c>
      <c r="B196" s="261" t="s">
        <v>523</v>
      </c>
      <c r="C196" s="261"/>
      <c r="D196" s="261"/>
      <c r="E196" s="261"/>
      <c r="F196" s="261"/>
      <c r="G196" s="261"/>
      <c r="H196" s="261"/>
    </row>
    <row r="197" spans="1:8" ht="96" customHeight="1">
      <c r="A197" s="4">
        <v>4</v>
      </c>
      <c r="B197" s="296" t="s">
        <v>535</v>
      </c>
      <c r="C197" s="297"/>
      <c r="D197" s="297"/>
      <c r="E197" s="297"/>
      <c r="F197" s="297"/>
      <c r="G197" s="297"/>
      <c r="H197" s="298"/>
    </row>
    <row r="198" spans="1:8" ht="43.5" customHeight="1"/>
    <row r="199" spans="1:8" ht="20.100000000000001" customHeight="1">
      <c r="A199" s="29" t="s">
        <v>29</v>
      </c>
    </row>
    <row r="200" spans="1:8" ht="19.5" customHeight="1"/>
    <row r="201" spans="1:8" ht="145.5" customHeight="1">
      <c r="A201" s="285"/>
      <c r="B201" s="285"/>
      <c r="C201" s="285"/>
      <c r="D201" s="285"/>
      <c r="E201" s="285"/>
      <c r="F201" s="285"/>
      <c r="G201" s="285"/>
      <c r="H201" s="285"/>
    </row>
  </sheetData>
  <sheetProtection algorithmName="SHA-512" hashValue="hImnNOW1JwXVeFz4j+LxJhiLl2fCn4z8hBKMyPGRyQ8BXIKNi3bKlL1Ql27I2o0VyuFDR2p0Vg+t10sPEK/NcA==" saltValue="J/ndAYMjYvyEuPdAld512w==" spinCount="100000" sheet="1" objects="1" scenarios="1"/>
  <dataConsolidate/>
  <mergeCells count="180">
    <mergeCell ref="B197:H197"/>
    <mergeCell ref="B194:H194"/>
    <mergeCell ref="A25:A26"/>
    <mergeCell ref="B195:H195"/>
    <mergeCell ref="B196:H196"/>
    <mergeCell ref="A142:H142"/>
    <mergeCell ref="A152:H152"/>
    <mergeCell ref="A153:H160"/>
    <mergeCell ref="B182:G182"/>
    <mergeCell ref="B183:G183"/>
    <mergeCell ref="H182:H183"/>
    <mergeCell ref="A184:A185"/>
    <mergeCell ref="H184:H185"/>
    <mergeCell ref="B184:G184"/>
    <mergeCell ref="B185:G185"/>
    <mergeCell ref="A120:A121"/>
    <mergeCell ref="A128:A129"/>
    <mergeCell ref="B114:D114"/>
    <mergeCell ref="B115:D115"/>
    <mergeCell ref="B116:D116"/>
    <mergeCell ref="B117:D117"/>
    <mergeCell ref="B118:D118"/>
    <mergeCell ref="B119:D119"/>
    <mergeCell ref="B129:D129"/>
    <mergeCell ref="A180:A181"/>
    <mergeCell ref="B179:G179"/>
    <mergeCell ref="B132:D132"/>
    <mergeCell ref="G121:H121"/>
    <mergeCell ref="G128:H128"/>
    <mergeCell ref="G125:H125"/>
    <mergeCell ref="B120:D120"/>
    <mergeCell ref="B121:D121"/>
    <mergeCell ref="B128:D128"/>
    <mergeCell ref="G132:H132"/>
    <mergeCell ref="C135:D135"/>
    <mergeCell ref="C136:D136"/>
    <mergeCell ref="A135:B135"/>
    <mergeCell ref="A136:B136"/>
    <mergeCell ref="A134:D134"/>
    <mergeCell ref="H180:H181"/>
    <mergeCell ref="A174:G174"/>
    <mergeCell ref="A201:H201"/>
    <mergeCell ref="G111:H111"/>
    <mergeCell ref="E112:F112"/>
    <mergeCell ref="E113:F113"/>
    <mergeCell ref="E122:F122"/>
    <mergeCell ref="A114:A115"/>
    <mergeCell ref="A116:A117"/>
    <mergeCell ref="A118:A119"/>
    <mergeCell ref="E128:F128"/>
    <mergeCell ref="G114:H114"/>
    <mergeCell ref="G115:H115"/>
    <mergeCell ref="G116:H116"/>
    <mergeCell ref="G117:H117"/>
    <mergeCell ref="G118:H118"/>
    <mergeCell ref="G119:H119"/>
    <mergeCell ref="G120:H120"/>
    <mergeCell ref="E116:F116"/>
    <mergeCell ref="E117:F117"/>
    <mergeCell ref="E118:F118"/>
    <mergeCell ref="E119:F119"/>
    <mergeCell ref="E120:F120"/>
    <mergeCell ref="E121:F121"/>
    <mergeCell ref="A140:H140"/>
    <mergeCell ref="A163:H163"/>
    <mergeCell ref="B43:D43"/>
    <mergeCell ref="B44:D44"/>
    <mergeCell ref="B45:D45"/>
    <mergeCell ref="B46:D46"/>
    <mergeCell ref="B56:D56"/>
    <mergeCell ref="B57:D57"/>
    <mergeCell ref="B58:D58"/>
    <mergeCell ref="B186:G186"/>
    <mergeCell ref="B187:G187"/>
    <mergeCell ref="B181:G181"/>
    <mergeCell ref="E66:F66"/>
    <mergeCell ref="B180:G180"/>
    <mergeCell ref="A164:H171"/>
    <mergeCell ref="B62:D62"/>
    <mergeCell ref="B59:D59"/>
    <mergeCell ref="B60:D60"/>
    <mergeCell ref="B61:D61"/>
    <mergeCell ref="B52:D52"/>
    <mergeCell ref="B53:D53"/>
    <mergeCell ref="G112:H112"/>
    <mergeCell ref="G113:H113"/>
    <mergeCell ref="B112:D112"/>
    <mergeCell ref="G124:H124"/>
    <mergeCell ref="G131:H131"/>
    <mergeCell ref="H186:H187"/>
    <mergeCell ref="H178:H179"/>
    <mergeCell ref="B178:G178"/>
    <mergeCell ref="B54:D54"/>
    <mergeCell ref="B55:D55"/>
    <mergeCell ref="B85:C85"/>
    <mergeCell ref="B111:D111"/>
    <mergeCell ref="A108:A110"/>
    <mergeCell ref="B113:D113"/>
    <mergeCell ref="B122:D122"/>
    <mergeCell ref="E111:F111"/>
    <mergeCell ref="B63:D63"/>
    <mergeCell ref="A71:D71"/>
    <mergeCell ref="E65:F65"/>
    <mergeCell ref="A186:A187"/>
    <mergeCell ref="G109:H110"/>
    <mergeCell ref="E108:H108"/>
    <mergeCell ref="B130:D130"/>
    <mergeCell ref="A182:A183"/>
    <mergeCell ref="A178:A179"/>
    <mergeCell ref="E132:F132"/>
    <mergeCell ref="A69:D69"/>
    <mergeCell ref="A87:H87"/>
    <mergeCell ref="A90:A91"/>
    <mergeCell ref="B25:H26"/>
    <mergeCell ref="A39:H39"/>
    <mergeCell ref="G40:H41"/>
    <mergeCell ref="G3:H3"/>
    <mergeCell ref="A11:C11"/>
    <mergeCell ref="A13:C13"/>
    <mergeCell ref="A10:C10"/>
    <mergeCell ref="A12:C12"/>
    <mergeCell ref="A9:C9"/>
    <mergeCell ref="A3:B3"/>
    <mergeCell ref="A33:B33"/>
    <mergeCell ref="F40:F42"/>
    <mergeCell ref="A31:B32"/>
    <mergeCell ref="C31:E32"/>
    <mergeCell ref="A6:C8"/>
    <mergeCell ref="A17:G17"/>
    <mergeCell ref="A14:H14"/>
    <mergeCell ref="C33:E33"/>
    <mergeCell ref="A34:B34"/>
    <mergeCell ref="E40:E42"/>
    <mergeCell ref="B40:D42"/>
    <mergeCell ref="A40:A42"/>
    <mergeCell ref="A1:H1"/>
    <mergeCell ref="E6:H10"/>
    <mergeCell ref="A143:H150"/>
    <mergeCell ref="A126:A127"/>
    <mergeCell ref="A130:A131"/>
    <mergeCell ref="A112:A113"/>
    <mergeCell ref="A122:A123"/>
    <mergeCell ref="A124:A125"/>
    <mergeCell ref="B123:D123"/>
    <mergeCell ref="B124:D124"/>
    <mergeCell ref="B125:D125"/>
    <mergeCell ref="B126:D126"/>
    <mergeCell ref="B127:D127"/>
    <mergeCell ref="B47:D47"/>
    <mergeCell ref="B48:D48"/>
    <mergeCell ref="B49:D49"/>
    <mergeCell ref="B50:D50"/>
    <mergeCell ref="B51:D51"/>
    <mergeCell ref="G4:H4"/>
    <mergeCell ref="C34:E34"/>
    <mergeCell ref="A15:H15"/>
    <mergeCell ref="A107:H107"/>
    <mergeCell ref="G122:H122"/>
    <mergeCell ref="G123:H123"/>
    <mergeCell ref="A89:H89"/>
    <mergeCell ref="C90:F90"/>
    <mergeCell ref="G90:H90"/>
    <mergeCell ref="B131:D131"/>
    <mergeCell ref="E123:F123"/>
    <mergeCell ref="E124:F124"/>
    <mergeCell ref="E109:F110"/>
    <mergeCell ref="G126:H126"/>
    <mergeCell ref="G127:H127"/>
    <mergeCell ref="E125:F125"/>
    <mergeCell ref="E126:F126"/>
    <mergeCell ref="E127:F127"/>
    <mergeCell ref="E130:F130"/>
    <mergeCell ref="E131:F131"/>
    <mergeCell ref="E129:F129"/>
    <mergeCell ref="G129:H129"/>
    <mergeCell ref="B108:D110"/>
    <mergeCell ref="G130:H130"/>
    <mergeCell ref="E114:F114"/>
    <mergeCell ref="B90:B91"/>
    <mergeCell ref="E115:F115"/>
  </mergeCells>
  <dataValidations count="5">
    <dataValidation operator="greaterThan" allowBlank="1" showInputMessage="1" showErrorMessage="1" sqref="F33" xr:uid="{00000000-0002-0000-0000-000000000000}"/>
    <dataValidation type="decimal" operator="greaterThanOrEqual" allowBlank="1" showInputMessage="1" showErrorMessage="1" sqref="E132:H132 A34 C34" xr:uid="{00000000-0002-0000-0000-000001000000}">
      <formula1>0</formula1>
    </dataValidation>
    <dataValidation type="whole" operator="greaterThanOrEqual" allowBlank="1" showInputMessage="1" showErrorMessage="1" errorTitle="Błędne dane" error="Pole może zawierać wyłącznie liczby całkowite." sqref="A136:D136" xr:uid="{00000000-0002-0000-0000-000002000000}">
      <formula1>0</formula1>
    </dataValidation>
    <dataValidation operator="lessThanOrEqual" allowBlank="1" showInputMessage="1" showErrorMessage="1" sqref="A143:H150 A153:H160" xr:uid="{00000000-0002-0000-0000-000003000000}"/>
    <dataValidation type="decimal" operator="greaterThanOrEqual" allowBlank="1" showInputMessage="1" showErrorMessage="1" errorTitle="Błędne dane" error="Pole może zawierać wyłącznie liczby." sqref="E44:F63 B74:B83 H112:H113 E74:F83 H130:H131 H122:H127 C93:F102 E112:E131 F130:F131 F112:F113 F122:F127 G112:G131" xr:uid="{00000000-0002-0000-0000-000004000000}">
      <formula1>0</formula1>
    </dataValidation>
  </dataValidations>
  <pageMargins left="0.39370078740157483" right="0.39370078740157483" top="0.39370078740157483" bottom="0.39370078740157483" header="0.31496062992125984" footer="0.31496062992125984"/>
  <pageSetup paperSize="9" scale="76" fitToHeight="0" orientation="landscape" horizontalDpi="4294967294" verticalDpi="1200" r:id="rId1"/>
  <headerFooter>
    <oddFooter>Strona &amp;P</oddFooter>
  </headerFooter>
  <rowBreaks count="11" manualBreakCount="11">
    <brk id="35" max="7" man="1"/>
    <brk id="53" max="7" man="1"/>
    <brk id="67" max="7" man="1"/>
    <brk id="85" max="7" man="1"/>
    <brk id="105" max="7" man="1"/>
    <brk id="121" max="7" man="1"/>
    <brk id="138" max="16383" man="1"/>
    <brk id="151" max="7" man="1"/>
    <brk id="161" max="7" man="1"/>
    <brk id="172" max="16383" man="1"/>
    <brk id="18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7</xdr:col>
                    <xdr:colOff>619125</xdr:colOff>
                    <xdr:row>177</xdr:row>
                    <xdr:rowOff>0</xdr:rowOff>
                  </from>
                  <to>
                    <xdr:col>7</xdr:col>
                    <xdr:colOff>914400</xdr:colOff>
                    <xdr:row>178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7</xdr:col>
                    <xdr:colOff>609600</xdr:colOff>
                    <xdr:row>179</xdr:row>
                    <xdr:rowOff>219075</xdr:rowOff>
                  </from>
                  <to>
                    <xdr:col>7</xdr:col>
                    <xdr:colOff>904875</xdr:colOff>
                    <xdr:row>180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7</xdr:col>
                    <xdr:colOff>619125</xdr:colOff>
                    <xdr:row>185</xdr:row>
                    <xdr:rowOff>161925</xdr:rowOff>
                  </from>
                  <to>
                    <xdr:col>7</xdr:col>
                    <xdr:colOff>914400</xdr:colOff>
                    <xdr:row>186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" name="Check Box 46">
              <controlPr defaultSize="0" autoFill="0" autoLine="0" autoPict="0">
                <anchor moveWithCells="1">
                  <from>
                    <xdr:col>7</xdr:col>
                    <xdr:colOff>609600</xdr:colOff>
                    <xdr:row>181</xdr:row>
                    <xdr:rowOff>180975</xdr:rowOff>
                  </from>
                  <to>
                    <xdr:col>7</xdr:col>
                    <xdr:colOff>904875</xdr:colOff>
                    <xdr:row>182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Check Box 47">
              <controlPr defaultSize="0" autoFill="0" autoLine="0" autoPict="0">
                <anchor moveWithCells="1">
                  <from>
                    <xdr:col>7</xdr:col>
                    <xdr:colOff>609600</xdr:colOff>
                    <xdr:row>183</xdr:row>
                    <xdr:rowOff>247650</xdr:rowOff>
                  </from>
                  <to>
                    <xdr:col>7</xdr:col>
                    <xdr:colOff>904875</xdr:colOff>
                    <xdr:row>184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powiaty!$A:$A</xm:f>
          </x14:formula1>
          <xm:sqref>B21</xm:sqref>
        </x14:dataValidation>
        <x14:dataValidation type="list" allowBlank="1" showInputMessage="1" showErrorMessage="1" xr:uid="{210A70C2-BC27-4156-8E30-DECA8A0F1419}">
          <x14:formula1>
            <xm:f>inne!$A$1:$A$3</xm:f>
          </x14:formula1>
          <xm:sqref>H174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AD3"/>
  <sheetViews>
    <sheetView zoomScaleNormal="100" workbookViewId="0">
      <selection activeCell="J37" sqref="J37"/>
    </sheetView>
  </sheetViews>
  <sheetFormatPr defaultRowHeight="15"/>
  <cols>
    <col min="1" max="1" width="12.42578125" customWidth="1"/>
    <col min="2" max="2" width="15" customWidth="1"/>
    <col min="3" max="3" width="11.42578125" hidden="1" customWidth="1"/>
    <col min="4" max="4" width="37.28515625" customWidth="1"/>
    <col min="5" max="5" width="13.5703125" customWidth="1"/>
    <col min="6" max="6" width="12.42578125" customWidth="1"/>
    <col min="7" max="19" width="15.7109375" customWidth="1"/>
    <col min="20" max="20" width="14.85546875" customWidth="1"/>
    <col min="21" max="21" width="15.5703125" customWidth="1"/>
    <col min="22" max="22" width="15" customWidth="1"/>
    <col min="23" max="24" width="14" customWidth="1"/>
    <col min="25" max="25" width="15" customWidth="1"/>
    <col min="26" max="26" width="13.140625" customWidth="1"/>
    <col min="27" max="27" width="12.42578125" customWidth="1"/>
    <col min="28" max="29" width="10.5703125" customWidth="1"/>
  </cols>
  <sheetData>
    <row r="1" spans="1:30" ht="51" customHeight="1">
      <c r="A1" s="391" t="s">
        <v>482</v>
      </c>
      <c r="B1" s="392" t="s">
        <v>308</v>
      </c>
      <c r="C1" s="393" t="s">
        <v>309</v>
      </c>
      <c r="D1" s="392" t="s">
        <v>310</v>
      </c>
      <c r="E1" s="392" t="s">
        <v>311</v>
      </c>
      <c r="F1" s="392" t="s">
        <v>312</v>
      </c>
      <c r="G1" s="390" t="s">
        <v>483</v>
      </c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88" t="s">
        <v>484</v>
      </c>
      <c r="S1" s="389"/>
      <c r="T1" s="389"/>
      <c r="U1" s="163"/>
      <c r="V1" s="163"/>
      <c r="W1" s="163"/>
      <c r="X1" s="163"/>
      <c r="Y1" s="163"/>
      <c r="Z1" s="163"/>
      <c r="AA1" s="163"/>
      <c r="AB1" s="163"/>
      <c r="AC1" s="163"/>
      <c r="AD1" s="163"/>
    </row>
    <row r="2" spans="1:30" ht="148.5" customHeight="1">
      <c r="A2" s="391"/>
      <c r="B2" s="392"/>
      <c r="C2" s="393"/>
      <c r="D2" s="392"/>
      <c r="E2" s="392"/>
      <c r="F2" s="392"/>
      <c r="G2" s="145" t="s">
        <v>485</v>
      </c>
      <c r="H2" s="145" t="s">
        <v>486</v>
      </c>
      <c r="I2" s="145" t="s">
        <v>487</v>
      </c>
      <c r="J2" s="145" t="s">
        <v>488</v>
      </c>
      <c r="K2" s="145" t="s">
        <v>489</v>
      </c>
      <c r="L2" s="145" t="s">
        <v>490</v>
      </c>
      <c r="M2" s="145" t="s">
        <v>491</v>
      </c>
      <c r="N2" s="145" t="s">
        <v>492</v>
      </c>
      <c r="O2" s="145" t="s">
        <v>493</v>
      </c>
      <c r="P2" s="145" t="s">
        <v>494</v>
      </c>
      <c r="Q2" s="145" t="s">
        <v>495</v>
      </c>
      <c r="R2" s="145" t="s">
        <v>496</v>
      </c>
      <c r="S2" s="145" t="s">
        <v>504</v>
      </c>
      <c r="T2" s="145" t="s">
        <v>505</v>
      </c>
    </row>
    <row r="3" spans="1:30" ht="60" customHeight="1">
      <c r="A3" s="146" t="e">
        <f>Ocena!H54</f>
        <v>#REF!</v>
      </c>
      <c r="B3" s="147" t="str">
        <f>dane!C3</f>
        <v>N</v>
      </c>
      <c r="C3" s="148"/>
      <c r="D3" s="147" t="str">
        <f>dane!D3</f>
        <v>(wybierz)</v>
      </c>
      <c r="E3" s="147">
        <f>dane!E3</f>
        <v>0</v>
      </c>
      <c r="F3" s="149">
        <f>dane!F3</f>
        <v>0</v>
      </c>
      <c r="G3" s="164" t="e">
        <f>Ocena!H12</f>
        <v>#REF!</v>
      </c>
      <c r="H3" s="164">
        <f>Ocena!H19</f>
        <v>0</v>
      </c>
      <c r="I3" s="164">
        <f>Ocena!H29</f>
        <v>0</v>
      </c>
      <c r="J3" s="164" t="e">
        <f>Ocena!J30</f>
        <v>#REF!</v>
      </c>
      <c r="K3" s="164">
        <f>Ocena!$H31</f>
        <v>0</v>
      </c>
      <c r="L3" s="164">
        <f>Ocena!$H32</f>
        <v>0</v>
      </c>
      <c r="M3" s="164">
        <f>Ocena!$H33</f>
        <v>0</v>
      </c>
      <c r="N3" s="164">
        <f>Ocena!$H34</f>
        <v>0</v>
      </c>
      <c r="O3" s="164">
        <f>Ocena!$H35</f>
        <v>0</v>
      </c>
      <c r="P3" s="164">
        <f>Ocena!$H36</f>
        <v>0</v>
      </c>
      <c r="Q3" s="164">
        <f>Ocena!$H37</f>
        <v>0</v>
      </c>
      <c r="R3" s="164" t="e">
        <f>Ocena!H40</f>
        <v>#REF!</v>
      </c>
      <c r="S3" s="164" t="e">
        <f>Ocena!H52</f>
        <v>#REF!</v>
      </c>
      <c r="T3" s="164">
        <f>Ocena!H53</f>
        <v>5</v>
      </c>
    </row>
  </sheetData>
  <mergeCells count="8">
    <mergeCell ref="R1:T1"/>
    <mergeCell ref="G1:Q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H49"/>
  <sheetViews>
    <sheetView zoomScale="70" zoomScaleNormal="70" workbookViewId="0">
      <selection activeCell="J37" sqref="J37"/>
    </sheetView>
  </sheetViews>
  <sheetFormatPr defaultRowHeight="15"/>
  <cols>
    <col min="1" max="1" width="7.5703125" customWidth="1"/>
    <col min="2" max="2" width="31.28515625" customWidth="1"/>
    <col min="6" max="6" width="8.5703125" customWidth="1"/>
    <col min="7" max="7" width="13.140625" customWidth="1"/>
    <col min="8" max="8" width="12.28515625" customWidth="1"/>
  </cols>
  <sheetData>
    <row r="1" spans="1:8">
      <c r="A1" s="54"/>
      <c r="B1" s="55"/>
      <c r="C1" s="55"/>
      <c r="D1" s="55"/>
      <c r="E1" s="55"/>
      <c r="F1" s="56"/>
      <c r="G1" s="369" t="s">
        <v>323</v>
      </c>
      <c r="H1" s="369"/>
    </row>
    <row r="2" spans="1:8" ht="15" customHeight="1">
      <c r="A2" s="370" t="s">
        <v>324</v>
      </c>
      <c r="B2" s="371"/>
      <c r="C2" s="371"/>
      <c r="D2" s="371"/>
      <c r="E2" s="371"/>
      <c r="F2" s="371"/>
      <c r="G2" s="371"/>
      <c r="H2" s="372"/>
    </row>
    <row r="3" spans="1:8">
      <c r="A3" s="54"/>
      <c r="B3" s="55"/>
      <c r="C3" s="55"/>
      <c r="D3" s="55"/>
      <c r="E3" s="55"/>
      <c r="F3" s="56"/>
      <c r="G3" s="56"/>
      <c r="H3" s="56"/>
    </row>
    <row r="4" spans="1:8" ht="15" customHeight="1">
      <c r="A4" s="54" t="s">
        <v>325</v>
      </c>
      <c r="B4" s="55"/>
      <c r="C4" s="373" t="str">
        <f>dane!B3</f>
        <v>IR-VII.801.19.XXX.2020</v>
      </c>
      <c r="D4" s="374"/>
      <c r="E4" s="374"/>
      <c r="F4" s="374"/>
      <c r="G4" s="374"/>
      <c r="H4" s="375"/>
    </row>
    <row r="5" spans="1:8">
      <c r="A5" s="54"/>
      <c r="B5" s="55"/>
      <c r="C5" s="57"/>
      <c r="D5" s="57"/>
      <c r="E5" s="57"/>
      <c r="F5" s="58"/>
      <c r="G5" s="58"/>
      <c r="H5" s="58"/>
    </row>
    <row r="6" spans="1:8" ht="30" customHeight="1">
      <c r="A6" s="54" t="s">
        <v>326</v>
      </c>
      <c r="B6" s="55"/>
      <c r="C6" s="373" t="str">
        <f>dane!D3</f>
        <v>(wybierz)</v>
      </c>
      <c r="D6" s="374"/>
      <c r="E6" s="374"/>
      <c r="F6" s="374"/>
      <c r="G6" s="374"/>
      <c r="H6" s="375"/>
    </row>
    <row r="7" spans="1:8">
      <c r="A7" s="54"/>
      <c r="B7" s="55"/>
      <c r="C7" s="57"/>
      <c r="D7" s="57"/>
      <c r="E7" s="57"/>
      <c r="F7" s="58"/>
      <c r="G7" s="58"/>
      <c r="H7" s="58"/>
    </row>
    <row r="8" spans="1:8" ht="15" customHeight="1">
      <c r="A8" s="54" t="s">
        <v>327</v>
      </c>
      <c r="B8" s="55"/>
      <c r="C8" s="59" t="s">
        <v>3</v>
      </c>
      <c r="D8" s="377" t="str">
        <f>dane!D3</f>
        <v>(wybierz)</v>
      </c>
      <c r="E8" s="377"/>
      <c r="F8" s="377"/>
      <c r="G8" s="377"/>
      <c r="H8" s="378"/>
    </row>
    <row r="9" spans="1:8">
      <c r="A9" s="54"/>
      <c r="B9" s="55"/>
      <c r="C9" s="55"/>
      <c r="D9" s="55"/>
      <c r="E9" s="55"/>
      <c r="F9" s="56"/>
      <c r="G9" s="56"/>
      <c r="H9" s="56"/>
    </row>
    <row r="10" spans="1:8" ht="15.75" customHeight="1">
      <c r="A10" s="150" t="s">
        <v>320</v>
      </c>
      <c r="B10" s="401" t="s">
        <v>328</v>
      </c>
      <c r="C10" s="402"/>
      <c r="D10" s="402"/>
      <c r="E10" s="402"/>
      <c r="F10" s="402"/>
      <c r="G10" s="403"/>
      <c r="H10" s="151" t="e">
        <f>SUM(H11:H31)</f>
        <v>#REF!</v>
      </c>
    </row>
    <row r="11" spans="1:8" ht="30" customHeight="1">
      <c r="A11" s="152" t="s">
        <v>329</v>
      </c>
      <c r="B11" s="396" t="s">
        <v>330</v>
      </c>
      <c r="C11" s="397"/>
      <c r="D11" s="397"/>
      <c r="E11" s="397"/>
      <c r="F11" s="397"/>
      <c r="G11" s="398"/>
      <c r="H11" s="153" t="e">
        <f>zbiorczy!G$3</f>
        <v>#REF!</v>
      </c>
    </row>
    <row r="12" spans="1:8" ht="30" customHeight="1">
      <c r="A12" s="62" t="s">
        <v>331</v>
      </c>
      <c r="B12" s="404" t="s">
        <v>332</v>
      </c>
      <c r="C12" s="377"/>
      <c r="D12" s="377"/>
      <c r="E12" s="377"/>
      <c r="F12" s="377"/>
      <c r="G12" s="378"/>
      <c r="H12" s="154" t="e">
        <f>Ocena!J13</f>
        <v>#REF!</v>
      </c>
    </row>
    <row r="13" spans="1:8" ht="30" customHeight="1">
      <c r="A13" s="62" t="s">
        <v>336</v>
      </c>
      <c r="B13" s="404" t="s">
        <v>337</v>
      </c>
      <c r="C13" s="377"/>
      <c r="D13" s="377"/>
      <c r="E13" s="377"/>
      <c r="F13" s="377"/>
      <c r="G13" s="378"/>
      <c r="H13" s="154">
        <f>Ocena!J17</f>
        <v>0</v>
      </c>
    </row>
    <row r="14" spans="1:8" ht="30" customHeight="1">
      <c r="A14" s="155" t="s">
        <v>339</v>
      </c>
      <c r="B14" s="396" t="s">
        <v>340</v>
      </c>
      <c r="C14" s="397"/>
      <c r="D14" s="397"/>
      <c r="E14" s="397"/>
      <c r="F14" s="397"/>
      <c r="G14" s="398"/>
      <c r="H14" s="156">
        <f>zbiorczy!H$3</f>
        <v>0</v>
      </c>
    </row>
    <row r="15" spans="1:8" ht="30" customHeight="1">
      <c r="A15" s="60" t="s">
        <v>341</v>
      </c>
      <c r="B15" s="404" t="s">
        <v>342</v>
      </c>
      <c r="C15" s="377"/>
      <c r="D15" s="377"/>
      <c r="E15" s="377"/>
      <c r="F15" s="377"/>
      <c r="G15" s="378"/>
      <c r="H15" s="154">
        <f>Ocena!J19</f>
        <v>0</v>
      </c>
    </row>
    <row r="16" spans="1:8" ht="30" customHeight="1">
      <c r="A16" s="60" t="s">
        <v>343</v>
      </c>
      <c r="B16" s="404" t="s">
        <v>313</v>
      </c>
      <c r="C16" s="377"/>
      <c r="D16" s="377"/>
      <c r="E16" s="377"/>
      <c r="F16" s="377"/>
      <c r="G16" s="378"/>
      <c r="H16" s="154">
        <f>Ocena!J21</f>
        <v>0</v>
      </c>
    </row>
    <row r="17" spans="1:8" ht="40.5" customHeight="1">
      <c r="A17" s="60" t="s">
        <v>346</v>
      </c>
      <c r="B17" s="404" t="s">
        <v>347</v>
      </c>
      <c r="C17" s="377"/>
      <c r="D17" s="377"/>
      <c r="E17" s="377"/>
      <c r="F17" s="377"/>
      <c r="G17" s="378"/>
      <c r="H17" s="154">
        <f>Ocena!J23</f>
        <v>0</v>
      </c>
    </row>
    <row r="18" spans="1:8" ht="30" customHeight="1">
      <c r="A18" s="60" t="s">
        <v>348</v>
      </c>
      <c r="B18" s="404" t="s">
        <v>349</v>
      </c>
      <c r="C18" s="377"/>
      <c r="D18" s="377"/>
      <c r="E18" s="377"/>
      <c r="F18" s="377"/>
      <c r="G18" s="378"/>
      <c r="H18" s="154">
        <f>Ocena!J24</f>
        <v>0</v>
      </c>
    </row>
    <row r="19" spans="1:8" ht="30" customHeight="1">
      <c r="A19" s="60" t="s">
        <v>350</v>
      </c>
      <c r="B19" s="404" t="s">
        <v>351</v>
      </c>
      <c r="C19" s="377"/>
      <c r="D19" s="377"/>
      <c r="E19" s="377"/>
      <c r="F19" s="377"/>
      <c r="G19" s="378"/>
      <c r="H19" s="154">
        <f>Ocena!J25</f>
        <v>0</v>
      </c>
    </row>
    <row r="20" spans="1:8" ht="30" customHeight="1">
      <c r="A20" s="60" t="s">
        <v>352</v>
      </c>
      <c r="B20" s="404" t="s">
        <v>353</v>
      </c>
      <c r="C20" s="377"/>
      <c r="D20" s="377"/>
      <c r="E20" s="377"/>
      <c r="F20" s="377"/>
      <c r="G20" s="378"/>
      <c r="H20" s="154">
        <f>Ocena!J26</f>
        <v>0</v>
      </c>
    </row>
    <row r="21" spans="1:8" ht="30" customHeight="1">
      <c r="A21" s="60" t="s">
        <v>354</v>
      </c>
      <c r="B21" s="404" t="s">
        <v>355</v>
      </c>
      <c r="C21" s="377"/>
      <c r="D21" s="377"/>
      <c r="E21" s="377"/>
      <c r="F21" s="377"/>
      <c r="G21" s="378"/>
      <c r="H21" s="154">
        <f>Ocena!J27</f>
        <v>0</v>
      </c>
    </row>
    <row r="22" spans="1:8" ht="30" customHeight="1">
      <c r="A22" s="60" t="s">
        <v>356</v>
      </c>
      <c r="B22" s="404" t="s">
        <v>357</v>
      </c>
      <c r="C22" s="377"/>
      <c r="D22" s="377"/>
      <c r="E22" s="377"/>
      <c r="F22" s="377"/>
      <c r="G22" s="378"/>
      <c r="H22" s="154">
        <f>Ocena!J28</f>
        <v>0</v>
      </c>
    </row>
    <row r="23" spans="1:8" ht="30" customHeight="1">
      <c r="A23" s="155" t="s">
        <v>358</v>
      </c>
      <c r="B23" s="396" t="s">
        <v>359</v>
      </c>
      <c r="C23" s="397"/>
      <c r="D23" s="397"/>
      <c r="E23" s="397"/>
      <c r="F23" s="397"/>
      <c r="G23" s="398"/>
      <c r="H23" s="156">
        <f>zbiorczy!I$3</f>
        <v>0</v>
      </c>
    </row>
    <row r="24" spans="1:8" ht="30" customHeight="1">
      <c r="A24" s="155" t="s">
        <v>360</v>
      </c>
      <c r="B24" s="396" t="s">
        <v>361</v>
      </c>
      <c r="C24" s="397"/>
      <c r="D24" s="397"/>
      <c r="E24" s="397"/>
      <c r="F24" s="397"/>
      <c r="G24" s="398"/>
      <c r="H24" s="156" t="e">
        <f>zbiorczy!J$3</f>
        <v>#REF!</v>
      </c>
    </row>
    <row r="25" spans="1:8" ht="30" customHeight="1">
      <c r="A25" s="155" t="s">
        <v>362</v>
      </c>
      <c r="B25" s="396" t="s">
        <v>363</v>
      </c>
      <c r="C25" s="397"/>
      <c r="D25" s="397"/>
      <c r="E25" s="397"/>
      <c r="F25" s="397"/>
      <c r="G25" s="398"/>
      <c r="H25" s="156">
        <f>zbiorczy!K$3</f>
        <v>0</v>
      </c>
    </row>
    <row r="26" spans="1:8" ht="30" customHeight="1">
      <c r="A26" s="155" t="s">
        <v>364</v>
      </c>
      <c r="B26" s="396" t="s">
        <v>365</v>
      </c>
      <c r="C26" s="397"/>
      <c r="D26" s="397"/>
      <c r="E26" s="397"/>
      <c r="F26" s="397"/>
      <c r="G26" s="398"/>
      <c r="H26" s="156">
        <f>zbiorczy!L$3</f>
        <v>0</v>
      </c>
    </row>
    <row r="27" spans="1:8" ht="30" customHeight="1">
      <c r="A27" s="155" t="s">
        <v>366</v>
      </c>
      <c r="B27" s="396" t="s">
        <v>367</v>
      </c>
      <c r="C27" s="397"/>
      <c r="D27" s="397"/>
      <c r="E27" s="397"/>
      <c r="F27" s="397"/>
      <c r="G27" s="398"/>
      <c r="H27" s="156">
        <f>zbiorczy!M$3</f>
        <v>0</v>
      </c>
    </row>
    <row r="28" spans="1:8" ht="30" customHeight="1">
      <c r="A28" s="155" t="s">
        <v>368</v>
      </c>
      <c r="B28" s="396" t="s">
        <v>369</v>
      </c>
      <c r="C28" s="397"/>
      <c r="D28" s="397"/>
      <c r="E28" s="397"/>
      <c r="F28" s="397"/>
      <c r="G28" s="398"/>
      <c r="H28" s="156">
        <f>zbiorczy!N$3</f>
        <v>0</v>
      </c>
    </row>
    <row r="29" spans="1:8" ht="30" customHeight="1">
      <c r="A29" s="155" t="s">
        <v>370</v>
      </c>
      <c r="B29" s="396" t="s">
        <v>371</v>
      </c>
      <c r="C29" s="397"/>
      <c r="D29" s="397"/>
      <c r="E29" s="397"/>
      <c r="F29" s="397"/>
      <c r="G29" s="398"/>
      <c r="H29" s="156">
        <f>zbiorczy!O$3</f>
        <v>0</v>
      </c>
    </row>
    <row r="30" spans="1:8" ht="30" customHeight="1">
      <c r="A30" s="155" t="s">
        <v>372</v>
      </c>
      <c r="B30" s="396" t="s">
        <v>373</v>
      </c>
      <c r="C30" s="397"/>
      <c r="D30" s="397"/>
      <c r="E30" s="397"/>
      <c r="F30" s="397"/>
      <c r="G30" s="398"/>
      <c r="H30" s="156">
        <f>zbiorczy!P$3</f>
        <v>0</v>
      </c>
    </row>
    <row r="31" spans="1:8" ht="30" customHeight="1">
      <c r="A31" s="155" t="s">
        <v>375</v>
      </c>
      <c r="B31" s="396" t="s">
        <v>376</v>
      </c>
      <c r="C31" s="397"/>
      <c r="D31" s="397"/>
      <c r="E31" s="397"/>
      <c r="F31" s="397"/>
      <c r="G31" s="398"/>
      <c r="H31" s="156">
        <f>zbiorczy!Q$3</f>
        <v>0</v>
      </c>
    </row>
    <row r="32" spans="1:8" ht="30" customHeight="1">
      <c r="A32" s="150" t="s">
        <v>377</v>
      </c>
      <c r="B32" s="401" t="s">
        <v>378</v>
      </c>
      <c r="C32" s="402"/>
      <c r="D32" s="402"/>
      <c r="E32" s="402"/>
      <c r="F32" s="402"/>
      <c r="G32" s="403"/>
      <c r="H32" s="151" t="e">
        <f>SUM(H33,H39,H40)</f>
        <v>#REF!</v>
      </c>
    </row>
    <row r="33" spans="1:8" ht="30" customHeight="1">
      <c r="A33" s="155" t="s">
        <v>379</v>
      </c>
      <c r="B33" s="396" t="s">
        <v>380</v>
      </c>
      <c r="C33" s="397"/>
      <c r="D33" s="397"/>
      <c r="E33" s="397"/>
      <c r="F33" s="397"/>
      <c r="G33" s="398"/>
      <c r="H33" s="156" t="e">
        <f>zbiorczy!R3</f>
        <v>#REF!</v>
      </c>
    </row>
    <row r="34" spans="1:8" ht="30" customHeight="1">
      <c r="A34" s="60" t="s">
        <v>381</v>
      </c>
      <c r="B34" s="404" t="s">
        <v>382</v>
      </c>
      <c r="C34" s="377"/>
      <c r="D34" s="377"/>
      <c r="E34" s="377"/>
      <c r="F34" s="377"/>
      <c r="G34" s="378"/>
      <c r="H34" s="154">
        <f>Ocena!J40</f>
        <v>0</v>
      </c>
    </row>
    <row r="35" spans="1:8" ht="30" customHeight="1">
      <c r="A35" s="60" t="s">
        <v>383</v>
      </c>
      <c r="B35" s="404" t="s">
        <v>384</v>
      </c>
      <c r="C35" s="377"/>
      <c r="D35" s="377"/>
      <c r="E35" s="377"/>
      <c r="F35" s="377"/>
      <c r="G35" s="378"/>
      <c r="H35" s="154">
        <f>Ocena!J42+Ocena!J43</f>
        <v>0</v>
      </c>
    </row>
    <row r="36" spans="1:8" ht="30" customHeight="1">
      <c r="A36" s="60" t="s">
        <v>387</v>
      </c>
      <c r="B36" s="404" t="s">
        <v>388</v>
      </c>
      <c r="C36" s="377"/>
      <c r="D36" s="377"/>
      <c r="E36" s="377"/>
      <c r="F36" s="377"/>
      <c r="G36" s="378"/>
      <c r="H36" s="154">
        <f>Ocena!J44</f>
        <v>0</v>
      </c>
    </row>
    <row r="37" spans="1:8" ht="30" customHeight="1">
      <c r="A37" s="60" t="s">
        <v>389</v>
      </c>
      <c r="B37" s="404" t="s">
        <v>390</v>
      </c>
      <c r="C37" s="377"/>
      <c r="D37" s="377"/>
      <c r="E37" s="377"/>
      <c r="F37" s="377"/>
      <c r="G37" s="378"/>
      <c r="H37" s="154" t="e">
        <f>Ocena!J45</f>
        <v>#REF!</v>
      </c>
    </row>
    <row r="38" spans="1:8" ht="30" customHeight="1">
      <c r="A38" s="60" t="s">
        <v>391</v>
      </c>
      <c r="B38" s="404" t="s">
        <v>392</v>
      </c>
      <c r="C38" s="377"/>
      <c r="D38" s="377"/>
      <c r="E38" s="377"/>
      <c r="F38" s="377"/>
      <c r="G38" s="378"/>
      <c r="H38" s="154">
        <f>Ocena!J47</f>
        <v>0</v>
      </c>
    </row>
    <row r="39" spans="1:8" ht="30" customHeight="1">
      <c r="A39" s="155" t="s">
        <v>398</v>
      </c>
      <c r="B39" s="396" t="s">
        <v>400</v>
      </c>
      <c r="C39" s="397"/>
      <c r="D39" s="397"/>
      <c r="E39" s="397"/>
      <c r="F39" s="397"/>
      <c r="G39" s="398"/>
      <c r="H39" s="156" t="e">
        <f>Ocena!H52</f>
        <v>#REF!</v>
      </c>
    </row>
    <row r="40" spans="1:8" ht="30" customHeight="1">
      <c r="A40" s="155" t="s">
        <v>398</v>
      </c>
      <c r="B40" s="396" t="s">
        <v>399</v>
      </c>
      <c r="C40" s="397"/>
      <c r="D40" s="397"/>
      <c r="E40" s="397"/>
      <c r="F40" s="397"/>
      <c r="G40" s="398"/>
      <c r="H40" s="156">
        <f>zbiorczy!T3</f>
        <v>5</v>
      </c>
    </row>
    <row r="41" spans="1:8" ht="33.75" customHeight="1">
      <c r="A41" s="54"/>
      <c r="B41" s="55"/>
      <c r="C41" s="55"/>
      <c r="D41" s="55"/>
      <c r="E41" s="55"/>
      <c r="F41" s="399" t="s">
        <v>401</v>
      </c>
      <c r="G41" s="400"/>
      <c r="H41" s="157" t="e">
        <f>SUM(H34:H38,H40,H23:H31,H15:H22,H12:H13,H39)</f>
        <v>#REF!</v>
      </c>
    </row>
    <row r="42" spans="1:8">
      <c r="A42" s="54"/>
      <c r="B42" s="55"/>
      <c r="C42" s="55"/>
      <c r="D42" s="55"/>
      <c r="E42" s="55"/>
      <c r="F42" s="56"/>
      <c r="G42" s="56"/>
      <c r="H42" s="56"/>
    </row>
    <row r="43" spans="1:8">
      <c r="A43" s="54"/>
      <c r="B43" s="55"/>
      <c r="C43" s="55"/>
      <c r="D43" s="55"/>
      <c r="E43" s="55"/>
      <c r="F43" s="56"/>
      <c r="G43" s="56"/>
      <c r="H43" s="56"/>
    </row>
    <row r="44" spans="1:8">
      <c r="A44" s="54"/>
      <c r="B44" s="158" t="s">
        <v>497</v>
      </c>
      <c r="C44" s="55"/>
      <c r="D44" s="55"/>
      <c r="E44" s="55"/>
      <c r="F44" s="56"/>
      <c r="G44" s="56"/>
      <c r="H44" s="56"/>
    </row>
    <row r="45" spans="1:8">
      <c r="A45" s="54"/>
      <c r="B45" s="159" t="s">
        <v>498</v>
      </c>
      <c r="C45" s="394"/>
      <c r="D45" s="394"/>
      <c r="E45" s="394"/>
      <c r="F45" s="394"/>
      <c r="G45" s="394"/>
      <c r="H45" s="394"/>
    </row>
    <row r="46" spans="1:8">
      <c r="A46" s="54"/>
      <c r="B46" s="159" t="s">
        <v>499</v>
      </c>
      <c r="C46" s="395"/>
      <c r="D46" s="395"/>
      <c r="E46" s="395"/>
      <c r="F46" s="395"/>
      <c r="G46" s="395"/>
      <c r="H46" s="395"/>
    </row>
    <row r="47" spans="1:8">
      <c r="A47" s="54"/>
      <c r="B47" s="159" t="s">
        <v>500</v>
      </c>
      <c r="C47" s="395"/>
      <c r="D47" s="395"/>
      <c r="E47" s="395"/>
      <c r="F47" s="395"/>
      <c r="G47" s="395"/>
      <c r="H47" s="395"/>
    </row>
    <row r="48" spans="1:8">
      <c r="A48" s="54"/>
      <c r="B48" s="159" t="s">
        <v>501</v>
      </c>
      <c r="C48" s="395"/>
      <c r="D48" s="395"/>
      <c r="E48" s="395"/>
      <c r="F48" s="395"/>
      <c r="G48" s="395"/>
      <c r="H48" s="395"/>
    </row>
    <row r="49" spans="1:8">
      <c r="A49" s="54"/>
      <c r="B49" s="159" t="s">
        <v>502</v>
      </c>
      <c r="C49" s="395"/>
      <c r="D49" s="395"/>
      <c r="E49" s="395"/>
      <c r="F49" s="395"/>
      <c r="G49" s="395"/>
      <c r="H49" s="395"/>
    </row>
  </sheetData>
  <mergeCells count="42">
    <mergeCell ref="B39:G39"/>
    <mergeCell ref="B16:G16"/>
    <mergeCell ref="G1:H1"/>
    <mergeCell ref="A2:H2"/>
    <mergeCell ref="C4:H4"/>
    <mergeCell ref="C6:H6"/>
    <mergeCell ref="D8:H8"/>
    <mergeCell ref="B10:G10"/>
    <mergeCell ref="B11:G11"/>
    <mergeCell ref="B12:G12"/>
    <mergeCell ref="B13:G13"/>
    <mergeCell ref="B14:G14"/>
    <mergeCell ref="B15:G15"/>
    <mergeCell ref="B28:G28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F41:G41"/>
    <mergeCell ref="B29:G29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40:G40"/>
    <mergeCell ref="C45:H45"/>
    <mergeCell ref="C46:H46"/>
    <mergeCell ref="C47:H47"/>
    <mergeCell ref="C48:H48"/>
    <mergeCell ref="C49:H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36"/>
  <sheetViews>
    <sheetView workbookViewId="0">
      <selection activeCell="B4" sqref="B4"/>
    </sheetView>
  </sheetViews>
  <sheetFormatPr defaultRowHeight="15"/>
  <cols>
    <col min="1" max="1" width="28.5703125" bestFit="1" customWidth="1"/>
    <col min="2" max="2" width="23.140625" customWidth="1"/>
    <col min="3" max="3" width="9" customWidth="1"/>
  </cols>
  <sheetData>
    <row r="1" spans="1:1">
      <c r="A1" t="s">
        <v>1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261</v>
      </c>
    </row>
    <row r="8" spans="1:1">
      <c r="A8" t="s">
        <v>262</v>
      </c>
    </row>
    <row r="9" spans="1:1">
      <c r="A9" t="s">
        <v>263</v>
      </c>
    </row>
    <row r="10" spans="1:1">
      <c r="A10" t="s">
        <v>264</v>
      </c>
    </row>
    <row r="11" spans="1:1">
      <c r="A11" t="s">
        <v>265</v>
      </c>
    </row>
    <row r="12" spans="1:1">
      <c r="A12" t="s">
        <v>266</v>
      </c>
    </row>
    <row r="13" spans="1:1">
      <c r="A13" t="s">
        <v>267</v>
      </c>
    </row>
    <row r="14" spans="1:1">
      <c r="A14" t="s">
        <v>268</v>
      </c>
    </row>
    <row r="15" spans="1:1">
      <c r="A15" t="s">
        <v>269</v>
      </c>
    </row>
    <row r="16" spans="1:1">
      <c r="A16" t="s">
        <v>270</v>
      </c>
    </row>
    <row r="17" spans="1:1">
      <c r="A17" t="s">
        <v>271</v>
      </c>
    </row>
    <row r="18" spans="1:1">
      <c r="A18" t="s">
        <v>272</v>
      </c>
    </row>
    <row r="19" spans="1:1">
      <c r="A19" t="s">
        <v>273</v>
      </c>
    </row>
    <row r="20" spans="1:1">
      <c r="A20" t="s">
        <v>274</v>
      </c>
    </row>
    <row r="21" spans="1:1">
      <c r="A21" t="s">
        <v>275</v>
      </c>
    </row>
    <row r="22" spans="1:1">
      <c r="A22" t="s">
        <v>276</v>
      </c>
    </row>
    <row r="23" spans="1:1">
      <c r="A23" t="s">
        <v>277</v>
      </c>
    </row>
    <row r="24" spans="1:1">
      <c r="A24" t="s">
        <v>278</v>
      </c>
    </row>
    <row r="25" spans="1:1">
      <c r="A25" t="s">
        <v>279</v>
      </c>
    </row>
    <row r="26" spans="1:1">
      <c r="A26" t="s">
        <v>280</v>
      </c>
    </row>
    <row r="27" spans="1:1">
      <c r="A27" t="s">
        <v>281</v>
      </c>
    </row>
    <row r="28" spans="1:1">
      <c r="A28" t="s">
        <v>282</v>
      </c>
    </row>
    <row r="29" spans="1:1">
      <c r="A29" t="s">
        <v>283</v>
      </c>
    </row>
    <row r="30" spans="1:1">
      <c r="A30" t="s">
        <v>284</v>
      </c>
    </row>
    <row r="31" spans="1:1">
      <c r="A31" t="s">
        <v>285</v>
      </c>
    </row>
    <row r="32" spans="1:1">
      <c r="A32" t="s">
        <v>286</v>
      </c>
    </row>
    <row r="33" spans="1:1">
      <c r="A33" t="s">
        <v>287</v>
      </c>
    </row>
    <row r="34" spans="1:1">
      <c r="A34" t="s">
        <v>288</v>
      </c>
    </row>
    <row r="35" spans="1:1">
      <c r="A35" t="s">
        <v>289</v>
      </c>
    </row>
    <row r="36" spans="1:1">
      <c r="A36" t="s">
        <v>290</v>
      </c>
    </row>
  </sheetData>
  <sheetProtection algorithmName="SHA-512" hashValue="51MNxn4PagrPiGVyLHb0JixMosUWW637lzXMV64r/aDUVG2fGoSsBd1s090RtcNESrRSLRNVreNcosxT8sw+Dw==" saltValue="7i3qBTk3Lr5HBO+v6draN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227"/>
  <sheetViews>
    <sheetView workbookViewId="0">
      <selection activeCell="B4" sqref="B4"/>
    </sheetView>
  </sheetViews>
  <sheetFormatPr defaultRowHeight="15"/>
  <cols>
    <col min="1" max="1" width="48.7109375" bestFit="1" customWidth="1"/>
    <col min="2" max="2" width="19.140625" customWidth="1"/>
  </cols>
  <sheetData>
    <row r="1" spans="1:1">
      <c r="A1" t="s">
        <v>1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48</v>
      </c>
    </row>
    <row r="21" spans="1:1">
      <c r="A21" t="s">
        <v>49</v>
      </c>
    </row>
    <row r="22" spans="1:1">
      <c r="A22" t="s">
        <v>50</v>
      </c>
    </row>
    <row r="23" spans="1:1">
      <c r="A23" t="s">
        <v>51</v>
      </c>
    </row>
    <row r="24" spans="1:1">
      <c r="A24" t="s">
        <v>52</v>
      </c>
    </row>
    <row r="25" spans="1:1">
      <c r="A25" t="s">
        <v>53</v>
      </c>
    </row>
    <row r="26" spans="1:1">
      <c r="A26" t="s">
        <v>54</v>
      </c>
    </row>
    <row r="27" spans="1:1">
      <c r="A27" t="s">
        <v>55</v>
      </c>
    </row>
    <row r="28" spans="1:1">
      <c r="A28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t="s">
        <v>60</v>
      </c>
    </row>
    <row r="33" spans="1:1">
      <c r="A33" t="s">
        <v>61</v>
      </c>
    </row>
    <row r="34" spans="1:1">
      <c r="A34" t="s">
        <v>62</v>
      </c>
    </row>
    <row r="35" spans="1:1">
      <c r="A35" t="s">
        <v>63</v>
      </c>
    </row>
    <row r="36" spans="1:1">
      <c r="A36" t="s">
        <v>64</v>
      </c>
    </row>
    <row r="37" spans="1:1">
      <c r="A37" t="s">
        <v>65</v>
      </c>
    </row>
    <row r="38" spans="1:1">
      <c r="A38" t="s">
        <v>66</v>
      </c>
    </row>
    <row r="39" spans="1:1">
      <c r="A39" t="s">
        <v>67</v>
      </c>
    </row>
    <row r="40" spans="1:1">
      <c r="A40" t="s">
        <v>68</v>
      </c>
    </row>
    <row r="41" spans="1:1">
      <c r="A41" t="s">
        <v>69</v>
      </c>
    </row>
    <row r="42" spans="1:1">
      <c r="A42" t="s">
        <v>70</v>
      </c>
    </row>
    <row r="43" spans="1:1">
      <c r="A43" t="s">
        <v>71</v>
      </c>
    </row>
    <row r="44" spans="1:1">
      <c r="A44" t="s">
        <v>72</v>
      </c>
    </row>
    <row r="45" spans="1:1">
      <c r="A45" t="s">
        <v>73</v>
      </c>
    </row>
    <row r="46" spans="1:1">
      <c r="A46" t="s">
        <v>74</v>
      </c>
    </row>
    <row r="47" spans="1:1">
      <c r="A47" t="s">
        <v>75</v>
      </c>
    </row>
    <row r="48" spans="1:1">
      <c r="A48" t="s">
        <v>76</v>
      </c>
    </row>
    <row r="49" spans="1:1">
      <c r="A49" t="s">
        <v>77</v>
      </c>
    </row>
    <row r="50" spans="1:1">
      <c r="A50" t="s">
        <v>78</v>
      </c>
    </row>
    <row r="51" spans="1:1">
      <c r="A51" t="s">
        <v>79</v>
      </c>
    </row>
    <row r="52" spans="1:1">
      <c r="A52" t="s">
        <v>80</v>
      </c>
    </row>
    <row r="53" spans="1:1">
      <c r="A53" t="s">
        <v>81</v>
      </c>
    </row>
    <row r="54" spans="1:1">
      <c r="A54" t="s">
        <v>82</v>
      </c>
    </row>
    <row r="55" spans="1:1">
      <c r="A55" t="s">
        <v>83</v>
      </c>
    </row>
    <row r="56" spans="1:1">
      <c r="A56" t="s">
        <v>84</v>
      </c>
    </row>
    <row r="57" spans="1:1">
      <c r="A57" t="s">
        <v>85</v>
      </c>
    </row>
    <row r="58" spans="1:1">
      <c r="A58" t="s">
        <v>86</v>
      </c>
    </row>
    <row r="59" spans="1:1">
      <c r="A59" t="s">
        <v>87</v>
      </c>
    </row>
    <row r="60" spans="1:1">
      <c r="A60" t="s">
        <v>88</v>
      </c>
    </row>
    <row r="61" spans="1:1">
      <c r="A61" t="s">
        <v>89</v>
      </c>
    </row>
    <row r="62" spans="1:1">
      <c r="A62" t="s">
        <v>90</v>
      </c>
    </row>
    <row r="63" spans="1:1">
      <c r="A63" t="s">
        <v>91</v>
      </c>
    </row>
    <row r="64" spans="1:1">
      <c r="A64" t="s">
        <v>92</v>
      </c>
    </row>
    <row r="65" spans="1:1">
      <c r="A65" t="s">
        <v>93</v>
      </c>
    </row>
    <row r="66" spans="1:1">
      <c r="A66" t="s">
        <v>94</v>
      </c>
    </row>
    <row r="67" spans="1:1">
      <c r="A67" t="s">
        <v>95</v>
      </c>
    </row>
    <row r="68" spans="1:1">
      <c r="A68" t="s">
        <v>96</v>
      </c>
    </row>
    <row r="69" spans="1:1">
      <c r="A69" t="s">
        <v>97</v>
      </c>
    </row>
    <row r="70" spans="1:1">
      <c r="A70" t="s">
        <v>98</v>
      </c>
    </row>
    <row r="71" spans="1:1">
      <c r="A71" t="s">
        <v>99</v>
      </c>
    </row>
    <row r="72" spans="1:1">
      <c r="A72" t="s">
        <v>100</v>
      </c>
    </row>
    <row r="73" spans="1:1">
      <c r="A73" t="s">
        <v>101</v>
      </c>
    </row>
    <row r="74" spans="1:1">
      <c r="A74" t="s">
        <v>102</v>
      </c>
    </row>
    <row r="75" spans="1:1">
      <c r="A75" t="s">
        <v>103</v>
      </c>
    </row>
    <row r="76" spans="1:1">
      <c r="A76" t="s">
        <v>104</v>
      </c>
    </row>
    <row r="77" spans="1:1">
      <c r="A77" t="s">
        <v>105</v>
      </c>
    </row>
    <row r="78" spans="1:1">
      <c r="A78" t="s">
        <v>106</v>
      </c>
    </row>
    <row r="79" spans="1:1">
      <c r="A79" t="s">
        <v>107</v>
      </c>
    </row>
    <row r="80" spans="1:1">
      <c r="A80" t="s">
        <v>108</v>
      </c>
    </row>
    <row r="81" spans="1:1">
      <c r="A81" t="s">
        <v>109</v>
      </c>
    </row>
    <row r="82" spans="1:1">
      <c r="A82" t="s">
        <v>110</v>
      </c>
    </row>
    <row r="83" spans="1:1">
      <c r="A83" t="s">
        <v>111</v>
      </c>
    </row>
    <row r="84" spans="1:1">
      <c r="A84" t="s">
        <v>112</v>
      </c>
    </row>
    <row r="85" spans="1:1">
      <c r="A85" t="s">
        <v>113</v>
      </c>
    </row>
    <row r="86" spans="1:1">
      <c r="A86" t="s">
        <v>114</v>
      </c>
    </row>
    <row r="87" spans="1:1">
      <c r="A87" t="s">
        <v>115</v>
      </c>
    </row>
    <row r="88" spans="1:1">
      <c r="A88" t="s">
        <v>116</v>
      </c>
    </row>
    <row r="89" spans="1:1">
      <c r="A89" t="s">
        <v>117</v>
      </c>
    </row>
    <row r="90" spans="1:1">
      <c r="A90" t="s">
        <v>118</v>
      </c>
    </row>
    <row r="91" spans="1:1">
      <c r="A91" t="s">
        <v>119</v>
      </c>
    </row>
    <row r="92" spans="1:1">
      <c r="A92" t="s">
        <v>120</v>
      </c>
    </row>
    <row r="93" spans="1:1">
      <c r="A93" t="s">
        <v>121</v>
      </c>
    </row>
    <row r="94" spans="1:1">
      <c r="A94" t="s">
        <v>122</v>
      </c>
    </row>
    <row r="95" spans="1:1">
      <c r="A95" t="s">
        <v>123</v>
      </c>
    </row>
    <row r="96" spans="1:1">
      <c r="A96" t="s">
        <v>124</v>
      </c>
    </row>
    <row r="97" spans="1:1">
      <c r="A97" t="s">
        <v>125</v>
      </c>
    </row>
    <row r="98" spans="1:1">
      <c r="A98" t="s">
        <v>126</v>
      </c>
    </row>
    <row r="99" spans="1:1">
      <c r="A99" t="s">
        <v>127</v>
      </c>
    </row>
    <row r="100" spans="1:1">
      <c r="A100" t="s">
        <v>128</v>
      </c>
    </row>
    <row r="101" spans="1:1">
      <c r="A101" t="s">
        <v>129</v>
      </c>
    </row>
    <row r="102" spans="1:1">
      <c r="A102" t="s">
        <v>130</v>
      </c>
    </row>
    <row r="103" spans="1:1">
      <c r="A103" t="s">
        <v>131</v>
      </c>
    </row>
    <row r="104" spans="1:1">
      <c r="A104" t="s">
        <v>132</v>
      </c>
    </row>
    <row r="105" spans="1:1">
      <c r="A105" t="s">
        <v>133</v>
      </c>
    </row>
    <row r="106" spans="1:1">
      <c r="A106" t="s">
        <v>134</v>
      </c>
    </row>
    <row r="107" spans="1:1">
      <c r="A107" t="s">
        <v>135</v>
      </c>
    </row>
    <row r="108" spans="1:1">
      <c r="A108" t="s">
        <v>136</v>
      </c>
    </row>
    <row r="109" spans="1:1">
      <c r="A109" t="s">
        <v>137</v>
      </c>
    </row>
    <row r="110" spans="1:1">
      <c r="A110" t="s">
        <v>138</v>
      </c>
    </row>
    <row r="111" spans="1:1">
      <c r="A111" t="s">
        <v>139</v>
      </c>
    </row>
    <row r="112" spans="1:1">
      <c r="A112" t="s">
        <v>140</v>
      </c>
    </row>
    <row r="113" spans="1:1">
      <c r="A113" t="s">
        <v>141</v>
      </c>
    </row>
    <row r="114" spans="1:1">
      <c r="A114" t="s">
        <v>142</v>
      </c>
    </row>
    <row r="115" spans="1:1">
      <c r="A115" t="s">
        <v>143</v>
      </c>
    </row>
    <row r="116" spans="1:1">
      <c r="A116" t="s">
        <v>144</v>
      </c>
    </row>
    <row r="117" spans="1:1">
      <c r="A117" t="s">
        <v>145</v>
      </c>
    </row>
    <row r="118" spans="1:1">
      <c r="A118" t="s">
        <v>146</v>
      </c>
    </row>
    <row r="119" spans="1:1">
      <c r="A119" t="s">
        <v>147</v>
      </c>
    </row>
    <row r="120" spans="1:1">
      <c r="A120" t="s">
        <v>148</v>
      </c>
    </row>
    <row r="121" spans="1:1">
      <c r="A121" t="s">
        <v>149</v>
      </c>
    </row>
    <row r="122" spans="1:1">
      <c r="A122" t="s">
        <v>150</v>
      </c>
    </row>
    <row r="123" spans="1:1">
      <c r="A123" t="s">
        <v>151</v>
      </c>
    </row>
    <row r="124" spans="1:1">
      <c r="A124" t="s">
        <v>152</v>
      </c>
    </row>
    <row r="125" spans="1:1">
      <c r="A125" t="s">
        <v>153</v>
      </c>
    </row>
    <row r="126" spans="1:1">
      <c r="A126" t="s">
        <v>154</v>
      </c>
    </row>
    <row r="127" spans="1:1">
      <c r="A127" t="s">
        <v>155</v>
      </c>
    </row>
    <row r="128" spans="1:1">
      <c r="A128" t="s">
        <v>156</v>
      </c>
    </row>
    <row r="129" spans="1:1">
      <c r="A129" t="s">
        <v>157</v>
      </c>
    </row>
    <row r="130" spans="1:1">
      <c r="A130" t="s">
        <v>158</v>
      </c>
    </row>
    <row r="131" spans="1:1">
      <c r="A131" t="s">
        <v>159</v>
      </c>
    </row>
    <row r="132" spans="1:1">
      <c r="A132" t="s">
        <v>160</v>
      </c>
    </row>
    <row r="133" spans="1:1">
      <c r="A133" t="s">
        <v>161</v>
      </c>
    </row>
    <row r="134" spans="1:1">
      <c r="A134" t="s">
        <v>162</v>
      </c>
    </row>
    <row r="135" spans="1:1">
      <c r="A135" t="s">
        <v>163</v>
      </c>
    </row>
    <row r="136" spans="1:1">
      <c r="A136" t="s">
        <v>164</v>
      </c>
    </row>
    <row r="137" spans="1:1">
      <c r="A137" t="s">
        <v>165</v>
      </c>
    </row>
    <row r="138" spans="1:1">
      <c r="A138" t="s">
        <v>166</v>
      </c>
    </row>
    <row r="139" spans="1:1">
      <c r="A139" t="s">
        <v>167</v>
      </c>
    </row>
    <row r="140" spans="1:1">
      <c r="A140" t="s">
        <v>168</v>
      </c>
    </row>
    <row r="141" spans="1:1">
      <c r="A141" t="s">
        <v>169</v>
      </c>
    </row>
    <row r="142" spans="1:1">
      <c r="A142" t="s">
        <v>170</v>
      </c>
    </row>
    <row r="143" spans="1:1">
      <c r="A143" t="s">
        <v>171</v>
      </c>
    </row>
    <row r="144" spans="1:1">
      <c r="A144" t="s">
        <v>172</v>
      </c>
    </row>
    <row r="145" spans="1:1">
      <c r="A145" t="s">
        <v>173</v>
      </c>
    </row>
    <row r="146" spans="1:1">
      <c r="A146" t="s">
        <v>174</v>
      </c>
    </row>
    <row r="147" spans="1:1">
      <c r="A147" t="s">
        <v>175</v>
      </c>
    </row>
    <row r="148" spans="1:1">
      <c r="A148" t="s">
        <v>176</v>
      </c>
    </row>
    <row r="149" spans="1:1">
      <c r="A149" t="s">
        <v>177</v>
      </c>
    </row>
    <row r="150" spans="1:1">
      <c r="A150" t="s">
        <v>178</v>
      </c>
    </row>
    <row r="151" spans="1:1">
      <c r="A151" t="s">
        <v>179</v>
      </c>
    </row>
    <row r="152" spans="1:1">
      <c r="A152" t="s">
        <v>180</v>
      </c>
    </row>
    <row r="153" spans="1:1">
      <c r="A153" t="s">
        <v>181</v>
      </c>
    </row>
    <row r="154" spans="1:1">
      <c r="A154" t="s">
        <v>182</v>
      </c>
    </row>
    <row r="155" spans="1:1">
      <c r="A155" t="s">
        <v>183</v>
      </c>
    </row>
    <row r="156" spans="1:1">
      <c r="A156" t="s">
        <v>184</v>
      </c>
    </row>
    <row r="157" spans="1:1">
      <c r="A157" t="s">
        <v>185</v>
      </c>
    </row>
    <row r="158" spans="1:1">
      <c r="A158" t="s">
        <v>186</v>
      </c>
    </row>
    <row r="159" spans="1:1">
      <c r="A159" t="s">
        <v>187</v>
      </c>
    </row>
    <row r="160" spans="1:1">
      <c r="A160" t="s">
        <v>188</v>
      </c>
    </row>
    <row r="161" spans="1:1">
      <c r="A161" t="s">
        <v>189</v>
      </c>
    </row>
    <row r="162" spans="1:1">
      <c r="A162" t="s">
        <v>190</v>
      </c>
    </row>
    <row r="163" spans="1:1">
      <c r="A163" t="s">
        <v>191</v>
      </c>
    </row>
    <row r="164" spans="1:1">
      <c r="A164" t="s">
        <v>192</v>
      </c>
    </row>
    <row r="165" spans="1:1">
      <c r="A165" t="s">
        <v>193</v>
      </c>
    </row>
    <row r="166" spans="1:1">
      <c r="A166" t="s">
        <v>194</v>
      </c>
    </row>
    <row r="167" spans="1:1">
      <c r="A167" t="s">
        <v>195</v>
      </c>
    </row>
    <row r="168" spans="1:1">
      <c r="A168" t="s">
        <v>196</v>
      </c>
    </row>
    <row r="169" spans="1:1">
      <c r="A169" t="s">
        <v>197</v>
      </c>
    </row>
    <row r="170" spans="1:1">
      <c r="A170" t="s">
        <v>198</v>
      </c>
    </row>
    <row r="171" spans="1:1">
      <c r="A171" t="s">
        <v>199</v>
      </c>
    </row>
    <row r="172" spans="1:1">
      <c r="A172" t="s">
        <v>200</v>
      </c>
    </row>
    <row r="173" spans="1:1">
      <c r="A173" t="s">
        <v>201</v>
      </c>
    </row>
    <row r="174" spans="1:1">
      <c r="A174" t="s">
        <v>202</v>
      </c>
    </row>
    <row r="175" spans="1:1">
      <c r="A175" t="s">
        <v>203</v>
      </c>
    </row>
    <row r="176" spans="1:1">
      <c r="A176" t="s">
        <v>204</v>
      </c>
    </row>
    <row r="177" spans="1:1">
      <c r="A177" t="s">
        <v>205</v>
      </c>
    </row>
    <row r="178" spans="1:1">
      <c r="A178" t="s">
        <v>206</v>
      </c>
    </row>
    <row r="179" spans="1:1">
      <c r="A179" t="s">
        <v>207</v>
      </c>
    </row>
    <row r="180" spans="1:1">
      <c r="A180" t="s">
        <v>208</v>
      </c>
    </row>
    <row r="181" spans="1:1">
      <c r="A181" t="s">
        <v>209</v>
      </c>
    </row>
    <row r="182" spans="1:1">
      <c r="A182" t="s">
        <v>210</v>
      </c>
    </row>
    <row r="183" spans="1:1">
      <c r="A183" t="s">
        <v>211</v>
      </c>
    </row>
    <row r="184" spans="1:1">
      <c r="A184" t="s">
        <v>212</v>
      </c>
    </row>
    <row r="185" spans="1:1">
      <c r="A185" t="s">
        <v>213</v>
      </c>
    </row>
    <row r="186" spans="1:1">
      <c r="A186" t="s">
        <v>214</v>
      </c>
    </row>
    <row r="187" spans="1:1">
      <c r="A187" t="s">
        <v>215</v>
      </c>
    </row>
    <row r="188" spans="1:1">
      <c r="A188" t="s">
        <v>216</v>
      </c>
    </row>
    <row r="189" spans="1:1">
      <c r="A189" t="s">
        <v>217</v>
      </c>
    </row>
    <row r="190" spans="1:1">
      <c r="A190" t="s">
        <v>218</v>
      </c>
    </row>
    <row r="191" spans="1:1">
      <c r="A191" t="s">
        <v>219</v>
      </c>
    </row>
    <row r="192" spans="1:1">
      <c r="A192" t="s">
        <v>220</v>
      </c>
    </row>
    <row r="193" spans="1:1">
      <c r="A193" t="s">
        <v>221</v>
      </c>
    </row>
    <row r="194" spans="1:1">
      <c r="A194" t="s">
        <v>222</v>
      </c>
    </row>
    <row r="195" spans="1:1">
      <c r="A195" t="s">
        <v>223</v>
      </c>
    </row>
    <row r="196" spans="1:1">
      <c r="A196" t="s">
        <v>224</v>
      </c>
    </row>
    <row r="197" spans="1:1">
      <c r="A197" t="s">
        <v>225</v>
      </c>
    </row>
    <row r="198" spans="1:1">
      <c r="A198" t="s">
        <v>226</v>
      </c>
    </row>
    <row r="199" spans="1:1">
      <c r="A199" t="s">
        <v>227</v>
      </c>
    </row>
    <row r="200" spans="1:1">
      <c r="A200" t="s">
        <v>228</v>
      </c>
    </row>
    <row r="201" spans="1:1">
      <c r="A201" t="s">
        <v>229</v>
      </c>
    </row>
    <row r="202" spans="1:1">
      <c r="A202" t="s">
        <v>230</v>
      </c>
    </row>
    <row r="203" spans="1:1">
      <c r="A203" t="s">
        <v>231</v>
      </c>
    </row>
    <row r="204" spans="1:1">
      <c r="A204" t="s">
        <v>232</v>
      </c>
    </row>
    <row r="205" spans="1:1">
      <c r="A205" t="s">
        <v>233</v>
      </c>
    </row>
    <row r="206" spans="1:1">
      <c r="A206" t="s">
        <v>234</v>
      </c>
    </row>
    <row r="207" spans="1:1">
      <c r="A207" t="s">
        <v>235</v>
      </c>
    </row>
    <row r="208" spans="1:1">
      <c r="A208" t="s">
        <v>236</v>
      </c>
    </row>
    <row r="209" spans="1:1">
      <c r="A209" t="s">
        <v>237</v>
      </c>
    </row>
    <row r="210" spans="1:1">
      <c r="A210" t="s">
        <v>238</v>
      </c>
    </row>
    <row r="211" spans="1:1">
      <c r="A211" t="s">
        <v>239</v>
      </c>
    </row>
    <row r="212" spans="1:1">
      <c r="A212" t="s">
        <v>240</v>
      </c>
    </row>
    <row r="213" spans="1:1">
      <c r="A213" t="s">
        <v>241</v>
      </c>
    </row>
    <row r="214" spans="1:1">
      <c r="A214" t="s">
        <v>242</v>
      </c>
    </row>
    <row r="215" spans="1:1">
      <c r="A215" t="s">
        <v>243</v>
      </c>
    </row>
    <row r="216" spans="1:1">
      <c r="A216" t="s">
        <v>244</v>
      </c>
    </row>
    <row r="217" spans="1:1">
      <c r="A217" t="s">
        <v>245</v>
      </c>
    </row>
    <row r="218" spans="1:1">
      <c r="A218" t="s">
        <v>246</v>
      </c>
    </row>
    <row r="219" spans="1:1">
      <c r="A219" t="s">
        <v>247</v>
      </c>
    </row>
    <row r="220" spans="1:1">
      <c r="A220" t="s">
        <v>248</v>
      </c>
    </row>
    <row r="221" spans="1:1">
      <c r="A221" t="s">
        <v>249</v>
      </c>
    </row>
    <row r="222" spans="1:1">
      <c r="A222" t="s">
        <v>250</v>
      </c>
    </row>
    <row r="223" spans="1:1">
      <c r="A223" t="s">
        <v>251</v>
      </c>
    </row>
    <row r="224" spans="1:1">
      <c r="A224" t="s">
        <v>252</v>
      </c>
    </row>
    <row r="225" spans="1:1">
      <c r="A225" t="s">
        <v>253</v>
      </c>
    </row>
    <row r="226" spans="1:1">
      <c r="A226" t="s">
        <v>254</v>
      </c>
    </row>
    <row r="227" spans="1:1">
      <c r="A227" t="s">
        <v>255</v>
      </c>
    </row>
  </sheetData>
  <sheetProtection algorithmName="SHA-512" hashValue="xq2io7BwIIJYKzeOh0H4EcShrbgth1fSnNCFeQXt8WSQHdXeqtMTrKgTAiBYmZrDyTM6GiNeMkw78BbXbnZW+Q==" saltValue="ORhGDCJ82MRxVrzd1K7s6g==" spinCount="100000" sheet="1" objects="1" scenario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418B-774B-465C-921F-C067A3713A1C}">
  <dimension ref="A1:A3"/>
  <sheetViews>
    <sheetView workbookViewId="0">
      <selection activeCell="A4" sqref="A4"/>
    </sheetView>
  </sheetViews>
  <sheetFormatPr defaultRowHeight="15"/>
  <sheetData>
    <row r="1" spans="1:1">
      <c r="A1" t="s">
        <v>1</v>
      </c>
    </row>
    <row r="2" spans="1:1">
      <c r="A2" t="s">
        <v>543</v>
      </c>
    </row>
    <row r="3" spans="1:1">
      <c r="A3" t="s">
        <v>544</v>
      </c>
    </row>
  </sheetData>
  <sheetProtection algorithmName="SHA-512" hashValue="h47liQp2etS3JlHXhQGKG8xLDkm8oNnTbPg5UHuIv7weTW+NMW6NSgpgbZxl7Dr+xnEivILI+npmsFG1i7xSew==" saltValue="U1pzi9S+eoAxIOzfZkfNY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X3"/>
  <sheetViews>
    <sheetView workbookViewId="0">
      <selection activeCell="P3" sqref="P3"/>
    </sheetView>
  </sheetViews>
  <sheetFormatPr defaultRowHeight="15"/>
  <cols>
    <col min="1" max="1" width="5" customWidth="1"/>
    <col min="2" max="2" width="20.5703125" customWidth="1"/>
    <col min="3" max="3" width="10.140625" customWidth="1"/>
    <col min="4" max="4" width="15" customWidth="1"/>
    <col min="5" max="5" width="10.5703125" customWidth="1"/>
    <col min="6" max="6" width="29.85546875" customWidth="1"/>
    <col min="7" max="9" width="14.85546875" customWidth="1"/>
    <col min="10" max="11" width="14.42578125" customWidth="1"/>
    <col min="12" max="14" width="14.85546875" customWidth="1"/>
    <col min="15" max="15" width="15.5703125" customWidth="1"/>
    <col min="16" max="16" width="15" customWidth="1"/>
    <col min="17" max="18" width="14" customWidth="1"/>
    <col min="19" max="19" width="12.7109375" customWidth="1"/>
    <col min="20" max="20" width="13.140625" customWidth="1"/>
    <col min="21" max="21" width="12.42578125" customWidth="1"/>
    <col min="22" max="23" width="10.5703125" customWidth="1"/>
    <col min="24" max="24" width="12.7109375" customWidth="1"/>
  </cols>
  <sheetData>
    <row r="1" spans="1:24" ht="29.25" customHeight="1">
      <c r="A1" s="310" t="s">
        <v>305</v>
      </c>
      <c r="B1" s="310" t="s">
        <v>306</v>
      </c>
      <c r="C1" s="319" t="s">
        <v>307</v>
      </c>
      <c r="D1" s="310" t="s">
        <v>308</v>
      </c>
      <c r="E1" s="310" t="s">
        <v>309</v>
      </c>
      <c r="F1" s="310" t="s">
        <v>310</v>
      </c>
      <c r="G1" s="320" t="s">
        <v>507</v>
      </c>
      <c r="H1" s="320" t="s">
        <v>508</v>
      </c>
      <c r="I1" s="320" t="s">
        <v>529</v>
      </c>
      <c r="J1" s="315" t="s">
        <v>509</v>
      </c>
      <c r="K1" s="317" t="s">
        <v>313</v>
      </c>
      <c r="L1" s="318"/>
      <c r="M1" s="311" t="s">
        <v>314</v>
      </c>
      <c r="N1" s="312"/>
      <c r="O1" s="313" t="s">
        <v>315</v>
      </c>
      <c r="P1" s="310" t="s">
        <v>316</v>
      </c>
      <c r="Q1" s="310" t="s">
        <v>317</v>
      </c>
      <c r="R1" s="310" t="s">
        <v>318</v>
      </c>
      <c r="S1" s="310" t="s">
        <v>319</v>
      </c>
      <c r="T1" s="310"/>
      <c r="U1" s="310"/>
      <c r="V1" s="310"/>
      <c r="W1" s="310"/>
      <c r="X1" s="310"/>
    </row>
    <row r="2" spans="1:24" ht="37.5" customHeight="1">
      <c r="A2" s="310"/>
      <c r="B2" s="310"/>
      <c r="C2" s="319"/>
      <c r="D2" s="310"/>
      <c r="E2" s="310"/>
      <c r="F2" s="310"/>
      <c r="G2" s="320"/>
      <c r="H2" s="320"/>
      <c r="I2" s="320"/>
      <c r="J2" s="316"/>
      <c r="K2" s="169"/>
      <c r="L2" s="169" t="s">
        <v>16</v>
      </c>
      <c r="M2" s="48" t="s">
        <v>8</v>
      </c>
      <c r="N2" s="49" t="s">
        <v>9</v>
      </c>
      <c r="O2" s="314"/>
      <c r="P2" s="310"/>
      <c r="Q2" s="310"/>
      <c r="R2" s="310"/>
      <c r="S2" s="50">
        <v>2023</v>
      </c>
      <c r="T2" s="50">
        <v>2024</v>
      </c>
      <c r="U2" s="50">
        <v>2025</v>
      </c>
      <c r="V2" s="50">
        <v>2026</v>
      </c>
      <c r="W2" s="50">
        <v>2027</v>
      </c>
      <c r="X2" s="50">
        <v>2028</v>
      </c>
    </row>
    <row r="3" spans="1:24" ht="54" customHeight="1">
      <c r="A3" s="177" t="s">
        <v>320</v>
      </c>
      <c r="B3" s="178" t="s">
        <v>321</v>
      </c>
      <c r="C3" s="179" t="s">
        <v>322</v>
      </c>
      <c r="D3" s="180" t="str">
        <f>wniosek!B21</f>
        <v>(wybierz)</v>
      </c>
      <c r="E3" s="181">
        <f>wniosek!G21</f>
        <v>0</v>
      </c>
      <c r="F3" s="180">
        <f>wniosek!B25</f>
        <v>0</v>
      </c>
      <c r="G3" s="182">
        <f>wniosek!C103</f>
        <v>0</v>
      </c>
      <c r="H3" s="183">
        <f>wniosek!D103</f>
        <v>0</v>
      </c>
      <c r="I3" s="184">
        <f>wniosek!E103</f>
        <v>0</v>
      </c>
      <c r="J3" s="184">
        <f>wniosek!F103</f>
        <v>0</v>
      </c>
      <c r="K3" s="185">
        <f>wniosek!A136</f>
        <v>0</v>
      </c>
      <c r="L3" s="185">
        <f>wniosek!C136</f>
        <v>0</v>
      </c>
      <c r="M3" s="191">
        <f>wniosek!G44</f>
        <v>0</v>
      </c>
      <c r="N3" s="191">
        <f>wniosek!H44</f>
        <v>0</v>
      </c>
      <c r="O3" s="186">
        <f>wniosek!C34</f>
        <v>0</v>
      </c>
      <c r="P3" s="187">
        <f>O3*R3</f>
        <v>0</v>
      </c>
      <c r="Q3" s="188">
        <f>O3-P3</f>
        <v>0</v>
      </c>
      <c r="R3" s="189">
        <v>0.6</v>
      </c>
      <c r="S3" s="190">
        <f>P3</f>
        <v>0</v>
      </c>
      <c r="T3" s="186"/>
      <c r="U3" s="186"/>
      <c r="V3" s="51"/>
      <c r="W3" s="51"/>
      <c r="X3" s="51"/>
    </row>
  </sheetData>
  <mergeCells count="17">
    <mergeCell ref="J1:J2"/>
    <mergeCell ref="K1:L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S1:X1"/>
    <mergeCell ref="M1:N1"/>
    <mergeCell ref="O1:O2"/>
    <mergeCell ref="P1:P2"/>
    <mergeCell ref="Q1:Q2"/>
    <mergeCell ref="R1:R2"/>
  </mergeCells>
  <dataValidations count="1">
    <dataValidation type="list" allowBlank="1" showInputMessage="1" showErrorMessage="1" sqref="C3" xr:uid="{00000000-0002-0000-0400-000000000000}">
      <formula1>"N,K,W"</formula1>
      <formula2>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1:Z60"/>
  <sheetViews>
    <sheetView topLeftCell="A31" zoomScale="85" zoomScaleNormal="85" workbookViewId="0">
      <selection activeCell="J37" sqref="J37"/>
    </sheetView>
  </sheetViews>
  <sheetFormatPr defaultRowHeight="12.75"/>
  <cols>
    <col min="1" max="1" width="7.5703125" style="54" customWidth="1"/>
    <col min="2" max="2" width="31.28515625" style="55" customWidth="1"/>
    <col min="3" max="5" width="9.140625" style="55"/>
    <col min="6" max="6" width="8.5703125" style="56" customWidth="1"/>
    <col min="7" max="7" width="13.140625" style="56" customWidth="1"/>
    <col min="8" max="8" width="12.28515625" style="56" customWidth="1"/>
    <col min="9" max="10" width="9.140625" style="55" customWidth="1"/>
    <col min="11" max="11" width="11.42578125" style="55" customWidth="1"/>
    <col min="12" max="42" width="9.140625" style="55" customWidth="1"/>
    <col min="43" max="256" width="9.140625" style="55"/>
    <col min="257" max="257" width="7.5703125" style="55" customWidth="1"/>
    <col min="258" max="258" width="31.28515625" style="55" customWidth="1"/>
    <col min="259" max="261" width="9.140625" style="55"/>
    <col min="262" max="262" width="8.5703125" style="55" customWidth="1"/>
    <col min="263" max="263" width="8.28515625" style="55" customWidth="1"/>
    <col min="264" max="264" width="12.28515625" style="55" customWidth="1"/>
    <col min="265" max="512" width="9.140625" style="55"/>
    <col min="513" max="513" width="7.5703125" style="55" customWidth="1"/>
    <col min="514" max="514" width="31.28515625" style="55" customWidth="1"/>
    <col min="515" max="517" width="9.140625" style="55"/>
    <col min="518" max="518" width="8.5703125" style="55" customWidth="1"/>
    <col min="519" max="519" width="8.28515625" style="55" customWidth="1"/>
    <col min="520" max="520" width="12.28515625" style="55" customWidth="1"/>
    <col min="521" max="768" width="9.140625" style="55"/>
    <col min="769" max="769" width="7.5703125" style="55" customWidth="1"/>
    <col min="770" max="770" width="31.28515625" style="55" customWidth="1"/>
    <col min="771" max="773" width="9.140625" style="55"/>
    <col min="774" max="774" width="8.5703125" style="55" customWidth="1"/>
    <col min="775" max="775" width="8.28515625" style="55" customWidth="1"/>
    <col min="776" max="776" width="12.28515625" style="55" customWidth="1"/>
    <col min="777" max="1024" width="9.140625" style="55"/>
    <col min="1025" max="1025" width="7.5703125" style="55" customWidth="1"/>
    <col min="1026" max="1026" width="31.28515625" style="55" customWidth="1"/>
    <col min="1027" max="1029" width="9.140625" style="55"/>
    <col min="1030" max="1030" width="8.5703125" style="55" customWidth="1"/>
    <col min="1031" max="1031" width="8.28515625" style="55" customWidth="1"/>
    <col min="1032" max="1032" width="12.28515625" style="55" customWidth="1"/>
    <col min="1033" max="1280" width="9.140625" style="55"/>
    <col min="1281" max="1281" width="7.5703125" style="55" customWidth="1"/>
    <col min="1282" max="1282" width="31.28515625" style="55" customWidth="1"/>
    <col min="1283" max="1285" width="9.140625" style="55"/>
    <col min="1286" max="1286" width="8.5703125" style="55" customWidth="1"/>
    <col min="1287" max="1287" width="8.28515625" style="55" customWidth="1"/>
    <col min="1288" max="1288" width="12.28515625" style="55" customWidth="1"/>
    <col min="1289" max="1536" width="9.140625" style="55"/>
    <col min="1537" max="1537" width="7.5703125" style="55" customWidth="1"/>
    <col min="1538" max="1538" width="31.28515625" style="55" customWidth="1"/>
    <col min="1539" max="1541" width="9.140625" style="55"/>
    <col min="1542" max="1542" width="8.5703125" style="55" customWidth="1"/>
    <col min="1543" max="1543" width="8.28515625" style="55" customWidth="1"/>
    <col min="1544" max="1544" width="12.28515625" style="55" customWidth="1"/>
    <col min="1545" max="1792" width="9.140625" style="55"/>
    <col min="1793" max="1793" width="7.5703125" style="55" customWidth="1"/>
    <col min="1794" max="1794" width="31.28515625" style="55" customWidth="1"/>
    <col min="1795" max="1797" width="9.140625" style="55"/>
    <col min="1798" max="1798" width="8.5703125" style="55" customWidth="1"/>
    <col min="1799" max="1799" width="8.28515625" style="55" customWidth="1"/>
    <col min="1800" max="1800" width="12.28515625" style="55" customWidth="1"/>
    <col min="1801" max="2048" width="9.140625" style="55"/>
    <col min="2049" max="2049" width="7.5703125" style="55" customWidth="1"/>
    <col min="2050" max="2050" width="31.28515625" style="55" customWidth="1"/>
    <col min="2051" max="2053" width="9.140625" style="55"/>
    <col min="2054" max="2054" width="8.5703125" style="55" customWidth="1"/>
    <col min="2055" max="2055" width="8.28515625" style="55" customWidth="1"/>
    <col min="2056" max="2056" width="12.28515625" style="55" customWidth="1"/>
    <col min="2057" max="2304" width="9.140625" style="55"/>
    <col min="2305" max="2305" width="7.5703125" style="55" customWidth="1"/>
    <col min="2306" max="2306" width="31.28515625" style="55" customWidth="1"/>
    <col min="2307" max="2309" width="9.140625" style="55"/>
    <col min="2310" max="2310" width="8.5703125" style="55" customWidth="1"/>
    <col min="2311" max="2311" width="8.28515625" style="55" customWidth="1"/>
    <col min="2312" max="2312" width="12.28515625" style="55" customWidth="1"/>
    <col min="2313" max="2560" width="9.140625" style="55"/>
    <col min="2561" max="2561" width="7.5703125" style="55" customWidth="1"/>
    <col min="2562" max="2562" width="31.28515625" style="55" customWidth="1"/>
    <col min="2563" max="2565" width="9.140625" style="55"/>
    <col min="2566" max="2566" width="8.5703125" style="55" customWidth="1"/>
    <col min="2567" max="2567" width="8.28515625" style="55" customWidth="1"/>
    <col min="2568" max="2568" width="12.28515625" style="55" customWidth="1"/>
    <col min="2569" max="2816" width="9.140625" style="55"/>
    <col min="2817" max="2817" width="7.5703125" style="55" customWidth="1"/>
    <col min="2818" max="2818" width="31.28515625" style="55" customWidth="1"/>
    <col min="2819" max="2821" width="9.140625" style="55"/>
    <col min="2822" max="2822" width="8.5703125" style="55" customWidth="1"/>
    <col min="2823" max="2823" width="8.28515625" style="55" customWidth="1"/>
    <col min="2824" max="2824" width="12.28515625" style="55" customWidth="1"/>
    <col min="2825" max="3072" width="9.140625" style="55"/>
    <col min="3073" max="3073" width="7.5703125" style="55" customWidth="1"/>
    <col min="3074" max="3074" width="31.28515625" style="55" customWidth="1"/>
    <col min="3075" max="3077" width="9.140625" style="55"/>
    <col min="3078" max="3078" width="8.5703125" style="55" customWidth="1"/>
    <col min="3079" max="3079" width="8.28515625" style="55" customWidth="1"/>
    <col min="3080" max="3080" width="12.28515625" style="55" customWidth="1"/>
    <col min="3081" max="3328" width="9.140625" style="55"/>
    <col min="3329" max="3329" width="7.5703125" style="55" customWidth="1"/>
    <col min="3330" max="3330" width="31.28515625" style="55" customWidth="1"/>
    <col min="3331" max="3333" width="9.140625" style="55"/>
    <col min="3334" max="3334" width="8.5703125" style="55" customWidth="1"/>
    <col min="3335" max="3335" width="8.28515625" style="55" customWidth="1"/>
    <col min="3336" max="3336" width="12.28515625" style="55" customWidth="1"/>
    <col min="3337" max="3584" width="9.140625" style="55"/>
    <col min="3585" max="3585" width="7.5703125" style="55" customWidth="1"/>
    <col min="3586" max="3586" width="31.28515625" style="55" customWidth="1"/>
    <col min="3587" max="3589" width="9.140625" style="55"/>
    <col min="3590" max="3590" width="8.5703125" style="55" customWidth="1"/>
    <col min="3591" max="3591" width="8.28515625" style="55" customWidth="1"/>
    <col min="3592" max="3592" width="12.28515625" style="55" customWidth="1"/>
    <col min="3593" max="3840" width="9.140625" style="55"/>
    <col min="3841" max="3841" width="7.5703125" style="55" customWidth="1"/>
    <col min="3842" max="3842" width="31.28515625" style="55" customWidth="1"/>
    <col min="3843" max="3845" width="9.140625" style="55"/>
    <col min="3846" max="3846" width="8.5703125" style="55" customWidth="1"/>
    <col min="3847" max="3847" width="8.28515625" style="55" customWidth="1"/>
    <col min="3848" max="3848" width="12.28515625" style="55" customWidth="1"/>
    <col min="3849" max="4096" width="9.140625" style="55"/>
    <col min="4097" max="4097" width="7.5703125" style="55" customWidth="1"/>
    <col min="4098" max="4098" width="31.28515625" style="55" customWidth="1"/>
    <col min="4099" max="4101" width="9.140625" style="55"/>
    <col min="4102" max="4102" width="8.5703125" style="55" customWidth="1"/>
    <col min="4103" max="4103" width="8.28515625" style="55" customWidth="1"/>
    <col min="4104" max="4104" width="12.28515625" style="55" customWidth="1"/>
    <col min="4105" max="4352" width="9.140625" style="55"/>
    <col min="4353" max="4353" width="7.5703125" style="55" customWidth="1"/>
    <col min="4354" max="4354" width="31.28515625" style="55" customWidth="1"/>
    <col min="4355" max="4357" width="9.140625" style="55"/>
    <col min="4358" max="4358" width="8.5703125" style="55" customWidth="1"/>
    <col min="4359" max="4359" width="8.28515625" style="55" customWidth="1"/>
    <col min="4360" max="4360" width="12.28515625" style="55" customWidth="1"/>
    <col min="4361" max="4608" width="9.140625" style="55"/>
    <col min="4609" max="4609" width="7.5703125" style="55" customWidth="1"/>
    <col min="4610" max="4610" width="31.28515625" style="55" customWidth="1"/>
    <col min="4611" max="4613" width="9.140625" style="55"/>
    <col min="4614" max="4614" width="8.5703125" style="55" customWidth="1"/>
    <col min="4615" max="4615" width="8.28515625" style="55" customWidth="1"/>
    <col min="4616" max="4616" width="12.28515625" style="55" customWidth="1"/>
    <col min="4617" max="4864" width="9.140625" style="55"/>
    <col min="4865" max="4865" width="7.5703125" style="55" customWidth="1"/>
    <col min="4866" max="4866" width="31.28515625" style="55" customWidth="1"/>
    <col min="4867" max="4869" width="9.140625" style="55"/>
    <col min="4870" max="4870" width="8.5703125" style="55" customWidth="1"/>
    <col min="4871" max="4871" width="8.28515625" style="55" customWidth="1"/>
    <col min="4872" max="4872" width="12.28515625" style="55" customWidth="1"/>
    <col min="4873" max="5120" width="9.140625" style="55"/>
    <col min="5121" max="5121" width="7.5703125" style="55" customWidth="1"/>
    <col min="5122" max="5122" width="31.28515625" style="55" customWidth="1"/>
    <col min="5123" max="5125" width="9.140625" style="55"/>
    <col min="5126" max="5126" width="8.5703125" style="55" customWidth="1"/>
    <col min="5127" max="5127" width="8.28515625" style="55" customWidth="1"/>
    <col min="5128" max="5128" width="12.28515625" style="55" customWidth="1"/>
    <col min="5129" max="5376" width="9.140625" style="55"/>
    <col min="5377" max="5377" width="7.5703125" style="55" customWidth="1"/>
    <col min="5378" max="5378" width="31.28515625" style="55" customWidth="1"/>
    <col min="5379" max="5381" width="9.140625" style="55"/>
    <col min="5382" max="5382" width="8.5703125" style="55" customWidth="1"/>
    <col min="5383" max="5383" width="8.28515625" style="55" customWidth="1"/>
    <col min="5384" max="5384" width="12.28515625" style="55" customWidth="1"/>
    <col min="5385" max="5632" width="9.140625" style="55"/>
    <col min="5633" max="5633" width="7.5703125" style="55" customWidth="1"/>
    <col min="5634" max="5634" width="31.28515625" style="55" customWidth="1"/>
    <col min="5635" max="5637" width="9.140625" style="55"/>
    <col min="5638" max="5638" width="8.5703125" style="55" customWidth="1"/>
    <col min="5639" max="5639" width="8.28515625" style="55" customWidth="1"/>
    <col min="5640" max="5640" width="12.28515625" style="55" customWidth="1"/>
    <col min="5641" max="5888" width="9.140625" style="55"/>
    <col min="5889" max="5889" width="7.5703125" style="55" customWidth="1"/>
    <col min="5890" max="5890" width="31.28515625" style="55" customWidth="1"/>
    <col min="5891" max="5893" width="9.140625" style="55"/>
    <col min="5894" max="5894" width="8.5703125" style="55" customWidth="1"/>
    <col min="5895" max="5895" width="8.28515625" style="55" customWidth="1"/>
    <col min="5896" max="5896" width="12.28515625" style="55" customWidth="1"/>
    <col min="5897" max="6144" width="9.140625" style="55"/>
    <col min="6145" max="6145" width="7.5703125" style="55" customWidth="1"/>
    <col min="6146" max="6146" width="31.28515625" style="55" customWidth="1"/>
    <col min="6147" max="6149" width="9.140625" style="55"/>
    <col min="6150" max="6150" width="8.5703125" style="55" customWidth="1"/>
    <col min="6151" max="6151" width="8.28515625" style="55" customWidth="1"/>
    <col min="6152" max="6152" width="12.28515625" style="55" customWidth="1"/>
    <col min="6153" max="6400" width="9.140625" style="55"/>
    <col min="6401" max="6401" width="7.5703125" style="55" customWidth="1"/>
    <col min="6402" max="6402" width="31.28515625" style="55" customWidth="1"/>
    <col min="6403" max="6405" width="9.140625" style="55"/>
    <col min="6406" max="6406" width="8.5703125" style="55" customWidth="1"/>
    <col min="6407" max="6407" width="8.28515625" style="55" customWidth="1"/>
    <col min="6408" max="6408" width="12.28515625" style="55" customWidth="1"/>
    <col min="6409" max="6656" width="9.140625" style="55"/>
    <col min="6657" max="6657" width="7.5703125" style="55" customWidth="1"/>
    <col min="6658" max="6658" width="31.28515625" style="55" customWidth="1"/>
    <col min="6659" max="6661" width="9.140625" style="55"/>
    <col min="6662" max="6662" width="8.5703125" style="55" customWidth="1"/>
    <col min="6663" max="6663" width="8.28515625" style="55" customWidth="1"/>
    <col min="6664" max="6664" width="12.28515625" style="55" customWidth="1"/>
    <col min="6665" max="6912" width="9.140625" style="55"/>
    <col min="6913" max="6913" width="7.5703125" style="55" customWidth="1"/>
    <col min="6914" max="6914" width="31.28515625" style="55" customWidth="1"/>
    <col min="6915" max="6917" width="9.140625" style="55"/>
    <col min="6918" max="6918" width="8.5703125" style="55" customWidth="1"/>
    <col min="6919" max="6919" width="8.28515625" style="55" customWidth="1"/>
    <col min="6920" max="6920" width="12.28515625" style="55" customWidth="1"/>
    <col min="6921" max="7168" width="9.140625" style="55"/>
    <col min="7169" max="7169" width="7.5703125" style="55" customWidth="1"/>
    <col min="7170" max="7170" width="31.28515625" style="55" customWidth="1"/>
    <col min="7171" max="7173" width="9.140625" style="55"/>
    <col min="7174" max="7174" width="8.5703125" style="55" customWidth="1"/>
    <col min="7175" max="7175" width="8.28515625" style="55" customWidth="1"/>
    <col min="7176" max="7176" width="12.28515625" style="55" customWidth="1"/>
    <col min="7177" max="7424" width="9.140625" style="55"/>
    <col min="7425" max="7425" width="7.5703125" style="55" customWidth="1"/>
    <col min="7426" max="7426" width="31.28515625" style="55" customWidth="1"/>
    <col min="7427" max="7429" width="9.140625" style="55"/>
    <col min="7430" max="7430" width="8.5703125" style="55" customWidth="1"/>
    <col min="7431" max="7431" width="8.28515625" style="55" customWidth="1"/>
    <col min="7432" max="7432" width="12.28515625" style="55" customWidth="1"/>
    <col min="7433" max="7680" width="9.140625" style="55"/>
    <col min="7681" max="7681" width="7.5703125" style="55" customWidth="1"/>
    <col min="7682" max="7682" width="31.28515625" style="55" customWidth="1"/>
    <col min="7683" max="7685" width="9.140625" style="55"/>
    <col min="7686" max="7686" width="8.5703125" style="55" customWidth="1"/>
    <col min="7687" max="7687" width="8.28515625" style="55" customWidth="1"/>
    <col min="7688" max="7688" width="12.28515625" style="55" customWidth="1"/>
    <col min="7689" max="7936" width="9.140625" style="55"/>
    <col min="7937" max="7937" width="7.5703125" style="55" customWidth="1"/>
    <col min="7938" max="7938" width="31.28515625" style="55" customWidth="1"/>
    <col min="7939" max="7941" width="9.140625" style="55"/>
    <col min="7942" max="7942" width="8.5703125" style="55" customWidth="1"/>
    <col min="7943" max="7943" width="8.28515625" style="55" customWidth="1"/>
    <col min="7944" max="7944" width="12.28515625" style="55" customWidth="1"/>
    <col min="7945" max="8192" width="9.140625" style="55"/>
    <col min="8193" max="8193" width="7.5703125" style="55" customWidth="1"/>
    <col min="8194" max="8194" width="31.28515625" style="55" customWidth="1"/>
    <col min="8195" max="8197" width="9.140625" style="55"/>
    <col min="8198" max="8198" width="8.5703125" style="55" customWidth="1"/>
    <col min="8199" max="8199" width="8.28515625" style="55" customWidth="1"/>
    <col min="8200" max="8200" width="12.28515625" style="55" customWidth="1"/>
    <col min="8201" max="8448" width="9.140625" style="55"/>
    <col min="8449" max="8449" width="7.5703125" style="55" customWidth="1"/>
    <col min="8450" max="8450" width="31.28515625" style="55" customWidth="1"/>
    <col min="8451" max="8453" width="9.140625" style="55"/>
    <col min="8454" max="8454" width="8.5703125" style="55" customWidth="1"/>
    <col min="8455" max="8455" width="8.28515625" style="55" customWidth="1"/>
    <col min="8456" max="8456" width="12.28515625" style="55" customWidth="1"/>
    <col min="8457" max="8704" width="9.140625" style="55"/>
    <col min="8705" max="8705" width="7.5703125" style="55" customWidth="1"/>
    <col min="8706" max="8706" width="31.28515625" style="55" customWidth="1"/>
    <col min="8707" max="8709" width="9.140625" style="55"/>
    <col min="8710" max="8710" width="8.5703125" style="55" customWidth="1"/>
    <col min="8711" max="8711" width="8.28515625" style="55" customWidth="1"/>
    <col min="8712" max="8712" width="12.28515625" style="55" customWidth="1"/>
    <col min="8713" max="8960" width="9.140625" style="55"/>
    <col min="8961" max="8961" width="7.5703125" style="55" customWidth="1"/>
    <col min="8962" max="8962" width="31.28515625" style="55" customWidth="1"/>
    <col min="8963" max="8965" width="9.140625" style="55"/>
    <col min="8966" max="8966" width="8.5703125" style="55" customWidth="1"/>
    <col min="8967" max="8967" width="8.28515625" style="55" customWidth="1"/>
    <col min="8968" max="8968" width="12.28515625" style="55" customWidth="1"/>
    <col min="8969" max="9216" width="9.140625" style="55"/>
    <col min="9217" max="9217" width="7.5703125" style="55" customWidth="1"/>
    <col min="9218" max="9218" width="31.28515625" style="55" customWidth="1"/>
    <col min="9219" max="9221" width="9.140625" style="55"/>
    <col min="9222" max="9222" width="8.5703125" style="55" customWidth="1"/>
    <col min="9223" max="9223" width="8.28515625" style="55" customWidth="1"/>
    <col min="9224" max="9224" width="12.28515625" style="55" customWidth="1"/>
    <col min="9225" max="9472" width="9.140625" style="55"/>
    <col min="9473" max="9473" width="7.5703125" style="55" customWidth="1"/>
    <col min="9474" max="9474" width="31.28515625" style="55" customWidth="1"/>
    <col min="9475" max="9477" width="9.140625" style="55"/>
    <col min="9478" max="9478" width="8.5703125" style="55" customWidth="1"/>
    <col min="9479" max="9479" width="8.28515625" style="55" customWidth="1"/>
    <col min="9480" max="9480" width="12.28515625" style="55" customWidth="1"/>
    <col min="9481" max="9728" width="9.140625" style="55"/>
    <col min="9729" max="9729" width="7.5703125" style="55" customWidth="1"/>
    <col min="9730" max="9730" width="31.28515625" style="55" customWidth="1"/>
    <col min="9731" max="9733" width="9.140625" style="55"/>
    <col min="9734" max="9734" width="8.5703125" style="55" customWidth="1"/>
    <col min="9735" max="9735" width="8.28515625" style="55" customWidth="1"/>
    <col min="9736" max="9736" width="12.28515625" style="55" customWidth="1"/>
    <col min="9737" max="9984" width="9.140625" style="55"/>
    <col min="9985" max="9985" width="7.5703125" style="55" customWidth="1"/>
    <col min="9986" max="9986" width="31.28515625" style="55" customWidth="1"/>
    <col min="9987" max="9989" width="9.140625" style="55"/>
    <col min="9990" max="9990" width="8.5703125" style="55" customWidth="1"/>
    <col min="9991" max="9991" width="8.28515625" style="55" customWidth="1"/>
    <col min="9992" max="9992" width="12.28515625" style="55" customWidth="1"/>
    <col min="9993" max="10240" width="9.140625" style="55"/>
    <col min="10241" max="10241" width="7.5703125" style="55" customWidth="1"/>
    <col min="10242" max="10242" width="31.28515625" style="55" customWidth="1"/>
    <col min="10243" max="10245" width="9.140625" style="55"/>
    <col min="10246" max="10246" width="8.5703125" style="55" customWidth="1"/>
    <col min="10247" max="10247" width="8.28515625" style="55" customWidth="1"/>
    <col min="10248" max="10248" width="12.28515625" style="55" customWidth="1"/>
    <col min="10249" max="10496" width="9.140625" style="55"/>
    <col min="10497" max="10497" width="7.5703125" style="55" customWidth="1"/>
    <col min="10498" max="10498" width="31.28515625" style="55" customWidth="1"/>
    <col min="10499" max="10501" width="9.140625" style="55"/>
    <col min="10502" max="10502" width="8.5703125" style="55" customWidth="1"/>
    <col min="10503" max="10503" width="8.28515625" style="55" customWidth="1"/>
    <col min="10504" max="10504" width="12.28515625" style="55" customWidth="1"/>
    <col min="10505" max="10752" width="9.140625" style="55"/>
    <col min="10753" max="10753" width="7.5703125" style="55" customWidth="1"/>
    <col min="10754" max="10754" width="31.28515625" style="55" customWidth="1"/>
    <col min="10755" max="10757" width="9.140625" style="55"/>
    <col min="10758" max="10758" width="8.5703125" style="55" customWidth="1"/>
    <col min="10759" max="10759" width="8.28515625" style="55" customWidth="1"/>
    <col min="10760" max="10760" width="12.28515625" style="55" customWidth="1"/>
    <col min="10761" max="11008" width="9.140625" style="55"/>
    <col min="11009" max="11009" width="7.5703125" style="55" customWidth="1"/>
    <col min="11010" max="11010" width="31.28515625" style="55" customWidth="1"/>
    <col min="11011" max="11013" width="9.140625" style="55"/>
    <col min="11014" max="11014" width="8.5703125" style="55" customWidth="1"/>
    <col min="11015" max="11015" width="8.28515625" style="55" customWidth="1"/>
    <col min="11016" max="11016" width="12.28515625" style="55" customWidth="1"/>
    <col min="11017" max="11264" width="9.140625" style="55"/>
    <col min="11265" max="11265" width="7.5703125" style="55" customWidth="1"/>
    <col min="11266" max="11266" width="31.28515625" style="55" customWidth="1"/>
    <col min="11267" max="11269" width="9.140625" style="55"/>
    <col min="11270" max="11270" width="8.5703125" style="55" customWidth="1"/>
    <col min="11271" max="11271" width="8.28515625" style="55" customWidth="1"/>
    <col min="11272" max="11272" width="12.28515625" style="55" customWidth="1"/>
    <col min="11273" max="11520" width="9.140625" style="55"/>
    <col min="11521" max="11521" width="7.5703125" style="55" customWidth="1"/>
    <col min="11522" max="11522" width="31.28515625" style="55" customWidth="1"/>
    <col min="11523" max="11525" width="9.140625" style="55"/>
    <col min="11526" max="11526" width="8.5703125" style="55" customWidth="1"/>
    <col min="11527" max="11527" width="8.28515625" style="55" customWidth="1"/>
    <col min="11528" max="11528" width="12.28515625" style="55" customWidth="1"/>
    <col min="11529" max="11776" width="9.140625" style="55"/>
    <col min="11777" max="11777" width="7.5703125" style="55" customWidth="1"/>
    <col min="11778" max="11778" width="31.28515625" style="55" customWidth="1"/>
    <col min="11779" max="11781" width="9.140625" style="55"/>
    <col min="11782" max="11782" width="8.5703125" style="55" customWidth="1"/>
    <col min="11783" max="11783" width="8.28515625" style="55" customWidth="1"/>
    <col min="11784" max="11784" width="12.28515625" style="55" customWidth="1"/>
    <col min="11785" max="12032" width="9.140625" style="55"/>
    <col min="12033" max="12033" width="7.5703125" style="55" customWidth="1"/>
    <col min="12034" max="12034" width="31.28515625" style="55" customWidth="1"/>
    <col min="12035" max="12037" width="9.140625" style="55"/>
    <col min="12038" max="12038" width="8.5703125" style="55" customWidth="1"/>
    <col min="12039" max="12039" width="8.28515625" style="55" customWidth="1"/>
    <col min="12040" max="12040" width="12.28515625" style="55" customWidth="1"/>
    <col min="12041" max="12288" width="9.140625" style="55"/>
    <col min="12289" max="12289" width="7.5703125" style="55" customWidth="1"/>
    <col min="12290" max="12290" width="31.28515625" style="55" customWidth="1"/>
    <col min="12291" max="12293" width="9.140625" style="55"/>
    <col min="12294" max="12294" width="8.5703125" style="55" customWidth="1"/>
    <col min="12295" max="12295" width="8.28515625" style="55" customWidth="1"/>
    <col min="12296" max="12296" width="12.28515625" style="55" customWidth="1"/>
    <col min="12297" max="12544" width="9.140625" style="55"/>
    <col min="12545" max="12545" width="7.5703125" style="55" customWidth="1"/>
    <col min="12546" max="12546" width="31.28515625" style="55" customWidth="1"/>
    <col min="12547" max="12549" width="9.140625" style="55"/>
    <col min="12550" max="12550" width="8.5703125" style="55" customWidth="1"/>
    <col min="12551" max="12551" width="8.28515625" style="55" customWidth="1"/>
    <col min="12552" max="12552" width="12.28515625" style="55" customWidth="1"/>
    <col min="12553" max="12800" width="9.140625" style="55"/>
    <col min="12801" max="12801" width="7.5703125" style="55" customWidth="1"/>
    <col min="12802" max="12802" width="31.28515625" style="55" customWidth="1"/>
    <col min="12803" max="12805" width="9.140625" style="55"/>
    <col min="12806" max="12806" width="8.5703125" style="55" customWidth="1"/>
    <col min="12807" max="12807" width="8.28515625" style="55" customWidth="1"/>
    <col min="12808" max="12808" width="12.28515625" style="55" customWidth="1"/>
    <col min="12809" max="13056" width="9.140625" style="55"/>
    <col min="13057" max="13057" width="7.5703125" style="55" customWidth="1"/>
    <col min="13058" max="13058" width="31.28515625" style="55" customWidth="1"/>
    <col min="13059" max="13061" width="9.140625" style="55"/>
    <col min="13062" max="13062" width="8.5703125" style="55" customWidth="1"/>
    <col min="13063" max="13063" width="8.28515625" style="55" customWidth="1"/>
    <col min="13064" max="13064" width="12.28515625" style="55" customWidth="1"/>
    <col min="13065" max="13312" width="9.140625" style="55"/>
    <col min="13313" max="13313" width="7.5703125" style="55" customWidth="1"/>
    <col min="13314" max="13314" width="31.28515625" style="55" customWidth="1"/>
    <col min="13315" max="13317" width="9.140625" style="55"/>
    <col min="13318" max="13318" width="8.5703125" style="55" customWidth="1"/>
    <col min="13319" max="13319" width="8.28515625" style="55" customWidth="1"/>
    <col min="13320" max="13320" width="12.28515625" style="55" customWidth="1"/>
    <col min="13321" max="13568" width="9.140625" style="55"/>
    <col min="13569" max="13569" width="7.5703125" style="55" customWidth="1"/>
    <col min="13570" max="13570" width="31.28515625" style="55" customWidth="1"/>
    <col min="13571" max="13573" width="9.140625" style="55"/>
    <col min="13574" max="13574" width="8.5703125" style="55" customWidth="1"/>
    <col min="13575" max="13575" width="8.28515625" style="55" customWidth="1"/>
    <col min="13576" max="13576" width="12.28515625" style="55" customWidth="1"/>
    <col min="13577" max="13824" width="9.140625" style="55"/>
    <col min="13825" max="13825" width="7.5703125" style="55" customWidth="1"/>
    <col min="13826" max="13826" width="31.28515625" style="55" customWidth="1"/>
    <col min="13827" max="13829" width="9.140625" style="55"/>
    <col min="13830" max="13830" width="8.5703125" style="55" customWidth="1"/>
    <col min="13831" max="13831" width="8.28515625" style="55" customWidth="1"/>
    <col min="13832" max="13832" width="12.28515625" style="55" customWidth="1"/>
    <col min="13833" max="14080" width="9.140625" style="55"/>
    <col min="14081" max="14081" width="7.5703125" style="55" customWidth="1"/>
    <col min="14082" max="14082" width="31.28515625" style="55" customWidth="1"/>
    <col min="14083" max="14085" width="9.140625" style="55"/>
    <col min="14086" max="14086" width="8.5703125" style="55" customWidth="1"/>
    <col min="14087" max="14087" width="8.28515625" style="55" customWidth="1"/>
    <col min="14088" max="14088" width="12.28515625" style="55" customWidth="1"/>
    <col min="14089" max="14336" width="9.140625" style="55"/>
    <col min="14337" max="14337" width="7.5703125" style="55" customWidth="1"/>
    <col min="14338" max="14338" width="31.28515625" style="55" customWidth="1"/>
    <col min="14339" max="14341" width="9.140625" style="55"/>
    <col min="14342" max="14342" width="8.5703125" style="55" customWidth="1"/>
    <col min="14343" max="14343" width="8.28515625" style="55" customWidth="1"/>
    <col min="14344" max="14344" width="12.28515625" style="55" customWidth="1"/>
    <col min="14345" max="14592" width="9.140625" style="55"/>
    <col min="14593" max="14593" width="7.5703125" style="55" customWidth="1"/>
    <col min="14594" max="14594" width="31.28515625" style="55" customWidth="1"/>
    <col min="14595" max="14597" width="9.140625" style="55"/>
    <col min="14598" max="14598" width="8.5703125" style="55" customWidth="1"/>
    <col min="14599" max="14599" width="8.28515625" style="55" customWidth="1"/>
    <col min="14600" max="14600" width="12.28515625" style="55" customWidth="1"/>
    <col min="14601" max="14848" width="9.140625" style="55"/>
    <col min="14849" max="14849" width="7.5703125" style="55" customWidth="1"/>
    <col min="14850" max="14850" width="31.28515625" style="55" customWidth="1"/>
    <col min="14851" max="14853" width="9.140625" style="55"/>
    <col min="14854" max="14854" width="8.5703125" style="55" customWidth="1"/>
    <col min="14855" max="14855" width="8.28515625" style="55" customWidth="1"/>
    <col min="14856" max="14856" width="12.28515625" style="55" customWidth="1"/>
    <col min="14857" max="15104" width="9.140625" style="55"/>
    <col min="15105" max="15105" width="7.5703125" style="55" customWidth="1"/>
    <col min="15106" max="15106" width="31.28515625" style="55" customWidth="1"/>
    <col min="15107" max="15109" width="9.140625" style="55"/>
    <col min="15110" max="15110" width="8.5703125" style="55" customWidth="1"/>
    <col min="15111" max="15111" width="8.28515625" style="55" customWidth="1"/>
    <col min="15112" max="15112" width="12.28515625" style="55" customWidth="1"/>
    <col min="15113" max="15360" width="9.140625" style="55"/>
    <col min="15361" max="15361" width="7.5703125" style="55" customWidth="1"/>
    <col min="15362" max="15362" width="31.28515625" style="55" customWidth="1"/>
    <col min="15363" max="15365" width="9.140625" style="55"/>
    <col min="15366" max="15366" width="8.5703125" style="55" customWidth="1"/>
    <col min="15367" max="15367" width="8.28515625" style="55" customWidth="1"/>
    <col min="15368" max="15368" width="12.28515625" style="55" customWidth="1"/>
    <col min="15369" max="15616" width="9.140625" style="55"/>
    <col min="15617" max="15617" width="7.5703125" style="55" customWidth="1"/>
    <col min="15618" max="15618" width="31.28515625" style="55" customWidth="1"/>
    <col min="15619" max="15621" width="9.140625" style="55"/>
    <col min="15622" max="15622" width="8.5703125" style="55" customWidth="1"/>
    <col min="15623" max="15623" width="8.28515625" style="55" customWidth="1"/>
    <col min="15624" max="15624" width="12.28515625" style="55" customWidth="1"/>
    <col min="15625" max="15872" width="9.140625" style="55"/>
    <col min="15873" max="15873" width="7.5703125" style="55" customWidth="1"/>
    <col min="15874" max="15874" width="31.28515625" style="55" customWidth="1"/>
    <col min="15875" max="15877" width="9.140625" style="55"/>
    <col min="15878" max="15878" width="8.5703125" style="55" customWidth="1"/>
    <col min="15879" max="15879" width="8.28515625" style="55" customWidth="1"/>
    <col min="15880" max="15880" width="12.28515625" style="55" customWidth="1"/>
    <col min="15881" max="16128" width="9.140625" style="55"/>
    <col min="16129" max="16129" width="7.5703125" style="55" customWidth="1"/>
    <col min="16130" max="16130" width="31.28515625" style="55" customWidth="1"/>
    <col min="16131" max="16133" width="9.140625" style="55"/>
    <col min="16134" max="16134" width="8.5703125" style="55" customWidth="1"/>
    <col min="16135" max="16135" width="8.28515625" style="55" customWidth="1"/>
    <col min="16136" max="16136" width="12.28515625" style="55" customWidth="1"/>
    <col min="16137" max="16384" width="9.140625" style="55"/>
  </cols>
  <sheetData>
    <row r="1" spans="1:10">
      <c r="G1" s="369" t="s">
        <v>323</v>
      </c>
      <c r="H1" s="369"/>
    </row>
    <row r="2" spans="1:10" ht="33" customHeight="1">
      <c r="A2" s="370" t="s">
        <v>324</v>
      </c>
      <c r="B2" s="371"/>
      <c r="C2" s="371"/>
      <c r="D2" s="371"/>
      <c r="E2" s="371"/>
      <c r="F2" s="371"/>
      <c r="G2" s="371"/>
      <c r="H2" s="372"/>
    </row>
    <row r="4" spans="1:10" ht="25.5" customHeight="1">
      <c r="A4" s="54" t="s">
        <v>325</v>
      </c>
      <c r="C4" s="373" t="str">
        <f>dane!B3</f>
        <v>IR-VII.801.19.XXX.2020</v>
      </c>
      <c r="D4" s="374"/>
      <c r="E4" s="374"/>
      <c r="F4" s="374"/>
      <c r="G4" s="374"/>
      <c r="H4" s="375"/>
    </row>
    <row r="5" spans="1:10">
      <c r="C5" s="57"/>
      <c r="D5" s="57"/>
      <c r="E5" s="57"/>
      <c r="F5" s="58"/>
      <c r="G5" s="58"/>
      <c r="H5" s="58"/>
    </row>
    <row r="6" spans="1:10" ht="36" customHeight="1">
      <c r="A6" s="54" t="s">
        <v>326</v>
      </c>
      <c r="C6" s="376">
        <f>dane!F3</f>
        <v>0</v>
      </c>
      <c r="D6" s="376"/>
      <c r="E6" s="376"/>
      <c r="F6" s="376"/>
      <c r="G6" s="376"/>
      <c r="H6" s="376"/>
    </row>
    <row r="7" spans="1:10">
      <c r="C7" s="57"/>
      <c r="D7" s="57"/>
      <c r="E7" s="57"/>
      <c r="F7" s="58"/>
      <c r="G7" s="58"/>
      <c r="H7" s="58"/>
    </row>
    <row r="8" spans="1:10" ht="25.5" customHeight="1">
      <c r="A8" s="54" t="s">
        <v>327</v>
      </c>
      <c r="C8" s="59" t="s">
        <v>3</v>
      </c>
      <c r="D8" s="377" t="str">
        <f>dane!D3</f>
        <v>(wybierz)</v>
      </c>
      <c r="E8" s="377"/>
      <c r="F8" s="377"/>
      <c r="G8" s="377"/>
      <c r="H8" s="378"/>
    </row>
    <row r="10" spans="1:10" ht="24" customHeight="1">
      <c r="A10" s="60" t="s">
        <v>320</v>
      </c>
      <c r="B10" s="363" t="s">
        <v>328</v>
      </c>
      <c r="C10" s="364"/>
      <c r="D10" s="364"/>
      <c r="E10" s="364"/>
      <c r="F10" s="364"/>
      <c r="G10" s="365"/>
      <c r="H10" s="61">
        <v>134</v>
      </c>
    </row>
    <row r="11" spans="1:10" ht="18.75" customHeight="1">
      <c r="A11" s="62" t="s">
        <v>329</v>
      </c>
      <c r="B11" s="346" t="s">
        <v>330</v>
      </c>
      <c r="C11" s="347"/>
      <c r="D11" s="347"/>
      <c r="E11" s="347"/>
      <c r="F11" s="347"/>
      <c r="G11" s="348"/>
      <c r="H11" s="63">
        <v>18</v>
      </c>
    </row>
    <row r="12" spans="1:10" ht="16.5" customHeight="1">
      <c r="A12" s="345" t="s">
        <v>331</v>
      </c>
      <c r="B12" s="356" t="s">
        <v>332</v>
      </c>
      <c r="C12" s="357"/>
      <c r="D12" s="357"/>
      <c r="E12" s="358"/>
      <c r="F12" s="340">
        <v>6</v>
      </c>
      <c r="G12" s="341"/>
      <c r="H12" s="334" t="e">
        <f>J17+J13</f>
        <v>#REF!</v>
      </c>
    </row>
    <row r="13" spans="1:10">
      <c r="A13" s="345"/>
      <c r="B13" s="379" t="s">
        <v>333</v>
      </c>
      <c r="C13" s="380"/>
      <c r="D13" s="380"/>
      <c r="E13" s="381"/>
      <c r="F13" s="64">
        <v>3</v>
      </c>
      <c r="G13" s="65" t="e">
        <f>dane!#REF!</f>
        <v>#REF!</v>
      </c>
      <c r="H13" s="335"/>
      <c r="I13" s="66" t="e">
        <f>F13*G13</f>
        <v>#REF!</v>
      </c>
      <c r="J13" s="67" t="e">
        <f>IF(I13+I14+I15&gt;6,6,I13+I14+I15)</f>
        <v>#REF!</v>
      </c>
    </row>
    <row r="14" spans="1:10">
      <c r="A14" s="345"/>
      <c r="B14" s="379" t="s">
        <v>334</v>
      </c>
      <c r="C14" s="380"/>
      <c r="D14" s="380"/>
      <c r="E14" s="381"/>
      <c r="F14" s="64">
        <v>2</v>
      </c>
      <c r="G14" s="65" t="e">
        <f>dane!#REF!</f>
        <v>#REF!</v>
      </c>
      <c r="H14" s="335"/>
      <c r="I14" s="66" t="e">
        <f>F14*G14</f>
        <v>#REF!</v>
      </c>
    </row>
    <row r="15" spans="1:10">
      <c r="A15" s="345"/>
      <c r="B15" s="379" t="s">
        <v>335</v>
      </c>
      <c r="C15" s="380"/>
      <c r="D15" s="380"/>
      <c r="E15" s="381"/>
      <c r="F15" s="64">
        <v>1</v>
      </c>
      <c r="G15" s="65" t="e">
        <f>dane!#REF!</f>
        <v>#REF!</v>
      </c>
      <c r="H15" s="335"/>
      <c r="I15" s="66" t="e">
        <f>F15*G15</f>
        <v>#REF!</v>
      </c>
    </row>
    <row r="16" spans="1:10">
      <c r="A16" s="337" t="s">
        <v>336</v>
      </c>
      <c r="B16" s="331" t="s">
        <v>337</v>
      </c>
      <c r="C16" s="332"/>
      <c r="D16" s="332"/>
      <c r="E16" s="333"/>
      <c r="F16" s="340">
        <v>12</v>
      </c>
      <c r="G16" s="341"/>
      <c r="H16" s="335"/>
    </row>
    <row r="17" spans="1:26">
      <c r="A17" s="339"/>
      <c r="B17" s="325" t="s">
        <v>338</v>
      </c>
      <c r="C17" s="326"/>
      <c r="D17" s="326"/>
      <c r="E17" s="327"/>
      <c r="F17" s="64">
        <v>4</v>
      </c>
      <c r="G17" s="68">
        <v>0</v>
      </c>
      <c r="H17" s="336"/>
      <c r="J17" s="67">
        <f>IF(F17*G17&gt;12,12,F17*G17)</f>
        <v>0</v>
      </c>
    </row>
    <row r="18" spans="1:26" ht="21" customHeight="1">
      <c r="A18" s="60" t="s">
        <v>339</v>
      </c>
      <c r="B18" s="366" t="s">
        <v>340</v>
      </c>
      <c r="C18" s="367"/>
      <c r="D18" s="367"/>
      <c r="E18" s="367"/>
      <c r="F18" s="367"/>
      <c r="G18" s="368"/>
      <c r="H18" s="70">
        <v>44</v>
      </c>
    </row>
    <row r="19" spans="1:26" ht="43.9" customHeight="1">
      <c r="A19" s="60" t="s">
        <v>341</v>
      </c>
      <c r="B19" s="356" t="s">
        <v>342</v>
      </c>
      <c r="C19" s="357"/>
      <c r="D19" s="357"/>
      <c r="E19" s="358"/>
      <c r="F19" s="71">
        <v>8</v>
      </c>
      <c r="G19" s="72" t="str">
        <f>dane!D3</f>
        <v>(wybierz)</v>
      </c>
      <c r="H19" s="352">
        <f>SUM(K19:Z19,J21,J23:J28)</f>
        <v>0</v>
      </c>
      <c r="J19" s="67">
        <f>SUM(K19:Z19)</f>
        <v>0</v>
      </c>
      <c r="K19" s="73">
        <f>IF($I$31="pilski",4,0)</f>
        <v>0</v>
      </c>
      <c r="L19" s="73">
        <f>IF($I$31="koniński",4,0)</f>
        <v>0</v>
      </c>
      <c r="M19" s="73">
        <f>IF($I$31="Konin",4,0)</f>
        <v>0</v>
      </c>
      <c r="N19" s="73">
        <f>IF($I$31="M. Konin (miejska)",4,0)</f>
        <v>0</v>
      </c>
      <c r="O19" s="73">
        <f>IF($I$31="M. Konin",4,0)</f>
        <v>0</v>
      </c>
      <c r="P19" s="73">
        <f>IF($I$31="czarnkowsko-trzcianecki",4,0)</f>
        <v>0</v>
      </c>
      <c r="Q19" s="73">
        <f>IF($I$31="gostyński",4,0)</f>
        <v>0</v>
      </c>
      <c r="R19" s="73">
        <f>IF($I$31="krotoszyński",4,0)</f>
        <v>0</v>
      </c>
      <c r="S19" s="73">
        <f>IF($G$19="ostrzeszowski",4,0)</f>
        <v>0</v>
      </c>
      <c r="T19" s="73">
        <f>IF($G$19="kępiński",4,0)</f>
        <v>0</v>
      </c>
      <c r="U19" s="74">
        <f>IF($G$19="złotowski",8,0)</f>
        <v>0</v>
      </c>
      <c r="V19" s="74">
        <f>IF($G$19="kaliski",8,0)</f>
        <v>0</v>
      </c>
      <c r="W19" s="74">
        <f>IF($G$19="ostrowski",8,0)</f>
        <v>0</v>
      </c>
      <c r="X19" s="74">
        <f>IF($G$19="Kalisz",8,0)</f>
        <v>0</v>
      </c>
      <c r="Y19" s="74">
        <f>IF($G$19="M. Kalisz",8,0)</f>
        <v>0</v>
      </c>
      <c r="Z19" s="74">
        <f>IF($G$19="M. Kalisz (miejska)",8,0)</f>
        <v>0</v>
      </c>
    </row>
    <row r="20" spans="1:26" ht="15">
      <c r="A20" s="337" t="s">
        <v>343</v>
      </c>
      <c r="B20" s="75" t="s">
        <v>313</v>
      </c>
      <c r="C20" s="76"/>
      <c r="D20" s="76"/>
      <c r="E20" s="77"/>
      <c r="F20" s="340">
        <v>6</v>
      </c>
      <c r="G20" s="341"/>
      <c r="H20" s="352"/>
      <c r="X20"/>
    </row>
    <row r="21" spans="1:26" ht="15">
      <c r="A21" s="338"/>
      <c r="B21" s="325" t="s">
        <v>344</v>
      </c>
      <c r="C21" s="326"/>
      <c r="D21" s="326"/>
      <c r="E21" s="327"/>
      <c r="F21" s="64">
        <v>2</v>
      </c>
      <c r="G21" s="65">
        <f>dane!K3-G22</f>
        <v>0</v>
      </c>
      <c r="H21" s="352"/>
      <c r="I21" s="66">
        <f>F21*G21</f>
        <v>0</v>
      </c>
      <c r="J21" s="67">
        <f>IF(I21+I22&gt;6,6,I21+I22)</f>
        <v>0</v>
      </c>
      <c r="X21"/>
    </row>
    <row r="22" spans="1:26" ht="15">
      <c r="A22" s="339"/>
      <c r="B22" s="325" t="s">
        <v>345</v>
      </c>
      <c r="C22" s="326"/>
      <c r="D22" s="326"/>
      <c r="E22" s="327"/>
      <c r="F22" s="64">
        <v>4</v>
      </c>
      <c r="G22" s="65">
        <f>dane!L3</f>
        <v>0</v>
      </c>
      <c r="H22" s="352"/>
      <c r="I22" s="66">
        <f>F22*G22</f>
        <v>0</v>
      </c>
      <c r="X22"/>
    </row>
    <row r="23" spans="1:26" ht="54" customHeight="1">
      <c r="A23" s="62" t="s">
        <v>346</v>
      </c>
      <c r="B23" s="362" t="s">
        <v>347</v>
      </c>
      <c r="C23" s="362"/>
      <c r="D23" s="362"/>
      <c r="E23" s="362"/>
      <c r="F23" s="78">
        <v>5</v>
      </c>
      <c r="G23" s="79">
        <v>0</v>
      </c>
      <c r="H23" s="352"/>
      <c r="J23" s="67">
        <f t="shared" ref="J23:J28" si="0">IF(G23&gt;5,5,G23)</f>
        <v>0</v>
      </c>
      <c r="X23"/>
    </row>
    <row r="24" spans="1:26" ht="17.25" customHeight="1">
      <c r="A24" s="62" t="s">
        <v>348</v>
      </c>
      <c r="B24" s="353" t="s">
        <v>349</v>
      </c>
      <c r="C24" s="354"/>
      <c r="D24" s="354"/>
      <c r="E24" s="355"/>
      <c r="F24" s="78">
        <v>5</v>
      </c>
      <c r="G24" s="79">
        <v>0</v>
      </c>
      <c r="H24" s="352"/>
      <c r="J24" s="67">
        <f t="shared" si="0"/>
        <v>0</v>
      </c>
      <c r="X24"/>
    </row>
    <row r="25" spans="1:26" ht="33" customHeight="1">
      <c r="A25" s="60" t="s">
        <v>350</v>
      </c>
      <c r="B25" s="356" t="s">
        <v>351</v>
      </c>
      <c r="C25" s="357"/>
      <c r="D25" s="357"/>
      <c r="E25" s="358"/>
      <c r="F25" s="70">
        <v>5</v>
      </c>
      <c r="G25" s="68">
        <v>0</v>
      </c>
      <c r="H25" s="352"/>
      <c r="J25" s="67">
        <f t="shared" si="0"/>
        <v>0</v>
      </c>
      <c r="X25"/>
    </row>
    <row r="26" spans="1:26" ht="33" customHeight="1">
      <c r="A26" s="60" t="s">
        <v>352</v>
      </c>
      <c r="B26" s="359" t="s">
        <v>353</v>
      </c>
      <c r="C26" s="359"/>
      <c r="D26" s="359"/>
      <c r="E26" s="359"/>
      <c r="F26" s="70">
        <v>5</v>
      </c>
      <c r="G26" s="68">
        <v>0</v>
      </c>
      <c r="H26" s="352"/>
      <c r="J26" s="67">
        <f t="shared" si="0"/>
        <v>0</v>
      </c>
      <c r="X26"/>
    </row>
    <row r="27" spans="1:26" ht="30" customHeight="1">
      <c r="A27" s="60" t="s">
        <v>354</v>
      </c>
      <c r="B27" s="359" t="s">
        <v>355</v>
      </c>
      <c r="C27" s="359"/>
      <c r="D27" s="359"/>
      <c r="E27" s="359"/>
      <c r="F27" s="70">
        <v>5</v>
      </c>
      <c r="G27" s="68">
        <v>0</v>
      </c>
      <c r="H27" s="352"/>
      <c r="J27" s="67">
        <f t="shared" si="0"/>
        <v>0</v>
      </c>
      <c r="X27"/>
    </row>
    <row r="28" spans="1:26" ht="30" customHeight="1">
      <c r="A28" s="60" t="s">
        <v>356</v>
      </c>
      <c r="B28" s="356" t="s">
        <v>357</v>
      </c>
      <c r="C28" s="357"/>
      <c r="D28" s="357"/>
      <c r="E28" s="358"/>
      <c r="F28" s="70">
        <v>5</v>
      </c>
      <c r="G28" s="68">
        <v>0</v>
      </c>
      <c r="H28" s="352"/>
      <c r="J28" s="67">
        <f t="shared" si="0"/>
        <v>0</v>
      </c>
      <c r="U28"/>
      <c r="X28"/>
    </row>
    <row r="29" spans="1:26" ht="30" customHeight="1">
      <c r="A29" s="60" t="s">
        <v>358</v>
      </c>
      <c r="B29" s="346" t="s">
        <v>359</v>
      </c>
      <c r="C29" s="347"/>
      <c r="D29" s="347"/>
      <c r="E29" s="348"/>
      <c r="F29" s="360">
        <v>10</v>
      </c>
      <c r="G29" s="361"/>
      <c r="H29" s="68">
        <v>0</v>
      </c>
      <c r="J29" s="67">
        <f>IF(H29&gt;10,10,H29)</f>
        <v>0</v>
      </c>
      <c r="U29"/>
    </row>
    <row r="30" spans="1:26" ht="22.5" customHeight="1">
      <c r="A30" s="60" t="s">
        <v>360</v>
      </c>
      <c r="B30" s="346" t="s">
        <v>361</v>
      </c>
      <c r="C30" s="347"/>
      <c r="D30" s="347"/>
      <c r="E30" s="348"/>
      <c r="F30" s="349">
        <v>5</v>
      </c>
      <c r="G30" s="349"/>
      <c r="H30" s="65" t="e">
        <f>dane!#REF!</f>
        <v>#REF!</v>
      </c>
      <c r="J30" s="67" t="e">
        <f>IF(H30=1,5,0)</f>
        <v>#REF!</v>
      </c>
      <c r="U30"/>
    </row>
    <row r="31" spans="1:26" ht="23.25" customHeight="1">
      <c r="A31" s="60" t="s">
        <v>362</v>
      </c>
      <c r="B31" s="346" t="s">
        <v>363</v>
      </c>
      <c r="C31" s="347"/>
      <c r="D31" s="347"/>
      <c r="E31" s="348"/>
      <c r="F31" s="349">
        <v>5</v>
      </c>
      <c r="G31" s="349"/>
      <c r="H31" s="65">
        <f>SUM(K31:R31)</f>
        <v>0</v>
      </c>
      <c r="I31" s="72" t="str">
        <f>dane!D3</f>
        <v>(wybierz)</v>
      </c>
      <c r="J31" s="67">
        <f>SUM(K31:R31)</f>
        <v>0</v>
      </c>
      <c r="K31" s="73">
        <f>IF($I$31="M. Konin (miejska)",5,0)</f>
        <v>0</v>
      </c>
      <c r="L31" s="73">
        <f>IF($I$31="Koło (miejska)",5,0)</f>
        <v>0</v>
      </c>
      <c r="M31" s="73">
        <f>IF($I$31="Złotów (miejska)",5,0)</f>
        <v>0</v>
      </c>
      <c r="N31" s="73">
        <f>IF($I$31="Turek (miejska)",5,0)</f>
        <v>0</v>
      </c>
      <c r="O31" s="73">
        <f>IF($I$31="Piła (miejska)",5,0)</f>
        <v>0</v>
      </c>
      <c r="P31" s="73">
        <f>IF($I$31="Gniezno (miejska)",5,0)</f>
        <v>0</v>
      </c>
      <c r="Q31" s="73">
        <f>IF($I$31="Pleszew (miejska)",5,0)</f>
        <v>0</v>
      </c>
      <c r="R31" s="73">
        <f>IF($I$31="M. Konin",5,0)</f>
        <v>0</v>
      </c>
    </row>
    <row r="32" spans="1:26" ht="30" customHeight="1">
      <c r="A32" s="60" t="s">
        <v>364</v>
      </c>
      <c r="B32" s="346" t="s">
        <v>365</v>
      </c>
      <c r="C32" s="347"/>
      <c r="D32" s="347"/>
      <c r="E32" s="348"/>
      <c r="F32" s="349">
        <v>10</v>
      </c>
      <c r="G32" s="349"/>
      <c r="H32" s="65">
        <f>SUM(K32:R32)</f>
        <v>0</v>
      </c>
      <c r="I32" s="72" t="str">
        <f>dane!D3</f>
        <v>(wybierz)</v>
      </c>
      <c r="J32" s="67">
        <f>SUM(K32:R32)</f>
        <v>0</v>
      </c>
      <c r="K32" s="73">
        <f>IF($I$32="czarnkowsko-trzcianecki",10,0)</f>
        <v>0</v>
      </c>
      <c r="L32" s="73">
        <f>IF($I$32="koniński",10,0)</f>
        <v>0</v>
      </c>
      <c r="M32" s="73">
        <f>IF($I$32="kolski",10,0)</f>
        <v>0</v>
      </c>
      <c r="N32" s="73">
        <f>IF($I$32="ostrzeszowski",10,0)</f>
        <v>0</v>
      </c>
      <c r="O32" s="73">
        <f>IF($I$31="M. Konin",5,0)</f>
        <v>0</v>
      </c>
      <c r="P32" s="73"/>
      <c r="Q32" s="73"/>
      <c r="R32" s="73"/>
    </row>
    <row r="33" spans="1:21" ht="41.25" customHeight="1">
      <c r="A33" s="60" t="s">
        <v>366</v>
      </c>
      <c r="B33" s="346" t="s">
        <v>367</v>
      </c>
      <c r="C33" s="347"/>
      <c r="D33" s="347"/>
      <c r="E33" s="348"/>
      <c r="F33" s="349">
        <v>5</v>
      </c>
      <c r="G33" s="349"/>
      <c r="H33" s="68">
        <v>0</v>
      </c>
      <c r="J33" s="67">
        <f>IF(H33&gt;5,5,H33)</f>
        <v>0</v>
      </c>
      <c r="U33"/>
    </row>
    <row r="34" spans="1:21" ht="30" customHeight="1">
      <c r="A34" s="60" t="s">
        <v>368</v>
      </c>
      <c r="B34" s="346" t="s">
        <v>369</v>
      </c>
      <c r="C34" s="347"/>
      <c r="D34" s="347"/>
      <c r="E34" s="348"/>
      <c r="F34" s="349">
        <v>5</v>
      </c>
      <c r="G34" s="349"/>
      <c r="H34" s="68">
        <v>0</v>
      </c>
      <c r="J34" s="67">
        <f>IF(H34&gt;5,5,H34)</f>
        <v>0</v>
      </c>
      <c r="U34"/>
    </row>
    <row r="35" spans="1:21" ht="30" customHeight="1">
      <c r="A35" s="60" t="s">
        <v>370</v>
      </c>
      <c r="B35" s="346" t="s">
        <v>371</v>
      </c>
      <c r="C35" s="347"/>
      <c r="D35" s="347"/>
      <c r="E35" s="348"/>
      <c r="F35" s="349">
        <v>5</v>
      </c>
      <c r="G35" s="349"/>
      <c r="H35" s="68">
        <v>0</v>
      </c>
      <c r="J35" s="67">
        <f>IF(H35&gt;5,5,H35)</f>
        <v>0</v>
      </c>
      <c r="U35"/>
    </row>
    <row r="36" spans="1:21" ht="30" customHeight="1">
      <c r="A36" s="60" t="s">
        <v>372</v>
      </c>
      <c r="B36" s="346" t="s">
        <v>373</v>
      </c>
      <c r="C36" s="347"/>
      <c r="D36" s="347"/>
      <c r="E36" s="348"/>
      <c r="F36" s="350" t="s">
        <v>374</v>
      </c>
      <c r="G36" s="341"/>
      <c r="H36" s="68">
        <v>0</v>
      </c>
      <c r="I36" s="72" t="str">
        <f>dane!D3</f>
        <v>(wybierz)</v>
      </c>
      <c r="J36" s="56"/>
    </row>
    <row r="37" spans="1:21" ht="44.25" customHeight="1">
      <c r="A37" s="60" t="s">
        <v>375</v>
      </c>
      <c r="B37" s="346" t="s">
        <v>376</v>
      </c>
      <c r="C37" s="347"/>
      <c r="D37" s="347"/>
      <c r="E37" s="348"/>
      <c r="F37" s="349">
        <v>15</v>
      </c>
      <c r="G37" s="349"/>
      <c r="H37" s="68">
        <v>0</v>
      </c>
      <c r="I37" s="80" t="e">
        <f>SUM(K31:R31,K32:R32)+J30+J29+J33+J34+J35+K36+H37</f>
        <v>#REF!</v>
      </c>
      <c r="U37"/>
    </row>
    <row r="38" spans="1:21" ht="32.25" customHeight="1">
      <c r="A38" s="60" t="s">
        <v>377</v>
      </c>
      <c r="B38" s="351" t="s">
        <v>378</v>
      </c>
      <c r="C38" s="351"/>
      <c r="D38" s="351"/>
      <c r="E38" s="351"/>
      <c r="F38" s="351"/>
      <c r="G38" s="351"/>
      <c r="H38" s="81">
        <f>H39+F52+F53</f>
        <v>47</v>
      </c>
      <c r="U38"/>
    </row>
    <row r="39" spans="1:21" ht="21.75" customHeight="1">
      <c r="A39" s="60" t="s">
        <v>379</v>
      </c>
      <c r="B39" s="346" t="s">
        <v>380</v>
      </c>
      <c r="C39" s="347"/>
      <c r="D39" s="347"/>
      <c r="E39" s="347"/>
      <c r="F39" s="347"/>
      <c r="G39" s="348"/>
      <c r="H39" s="144">
        <f>F40+F41+F44+F45+F46</f>
        <v>37</v>
      </c>
      <c r="U39"/>
    </row>
    <row r="40" spans="1:21" ht="15.75" customHeight="1">
      <c r="A40" s="60" t="s">
        <v>381</v>
      </c>
      <c r="B40" s="331" t="s">
        <v>382</v>
      </c>
      <c r="C40" s="332"/>
      <c r="D40" s="332"/>
      <c r="E40" s="333"/>
      <c r="F40" s="71">
        <v>7</v>
      </c>
      <c r="G40" s="82">
        <f>dane!H3</f>
        <v>0</v>
      </c>
      <c r="H40" s="334" t="e">
        <f>J40+J42+J43+J44+J45+J47</f>
        <v>#REF!</v>
      </c>
      <c r="I40" s="83">
        <f>F40*G40</f>
        <v>0</v>
      </c>
      <c r="J40" s="67">
        <f>IF(I40&gt;7,7,I40)</f>
        <v>0</v>
      </c>
    </row>
    <row r="41" spans="1:21" ht="15.75" customHeight="1">
      <c r="A41" s="337" t="s">
        <v>383</v>
      </c>
      <c r="B41" s="331" t="s">
        <v>384</v>
      </c>
      <c r="C41" s="332"/>
      <c r="D41" s="332"/>
      <c r="E41" s="333"/>
      <c r="F41" s="340">
        <v>8</v>
      </c>
      <c r="G41" s="341"/>
      <c r="H41" s="335"/>
      <c r="I41" s="83"/>
    </row>
    <row r="42" spans="1:21" ht="15.75" customHeight="1">
      <c r="A42" s="338"/>
      <c r="B42" s="325" t="s">
        <v>385</v>
      </c>
      <c r="C42" s="326"/>
      <c r="D42" s="326"/>
      <c r="E42" s="327"/>
      <c r="F42" s="64">
        <v>7</v>
      </c>
      <c r="G42" s="84">
        <f>dane!I3</f>
        <v>0</v>
      </c>
      <c r="H42" s="335"/>
      <c r="I42" s="83">
        <f>F42*G42</f>
        <v>0</v>
      </c>
      <c r="J42" s="67">
        <f>IF(I42&gt;7,7,I42)</f>
        <v>0</v>
      </c>
    </row>
    <row r="43" spans="1:21" ht="15.75" customHeight="1">
      <c r="A43" s="339"/>
      <c r="B43" s="342" t="s">
        <v>386</v>
      </c>
      <c r="C43" s="343"/>
      <c r="D43" s="343"/>
      <c r="E43" s="344"/>
      <c r="F43" s="71">
        <v>5</v>
      </c>
      <c r="G43" s="85">
        <f>dane!H3</f>
        <v>0</v>
      </c>
      <c r="H43" s="335"/>
      <c r="I43" s="83">
        <f>F43*G43</f>
        <v>0</v>
      </c>
      <c r="J43" s="67">
        <f>IF(I43&gt;5,5,I43)</f>
        <v>0</v>
      </c>
    </row>
    <row r="44" spans="1:21" ht="15.75" customHeight="1">
      <c r="A44" s="60" t="s">
        <v>387</v>
      </c>
      <c r="B44" s="331" t="s">
        <v>388</v>
      </c>
      <c r="C44" s="332"/>
      <c r="D44" s="332"/>
      <c r="E44" s="333"/>
      <c r="F44" s="71">
        <v>10</v>
      </c>
      <c r="G44" s="84">
        <f>dane!J3</f>
        <v>0</v>
      </c>
      <c r="H44" s="335"/>
      <c r="I44" s="83">
        <f>F44*G44</f>
        <v>0</v>
      </c>
      <c r="J44" s="67">
        <f>IF(I44&gt;10,10,I44)</f>
        <v>0</v>
      </c>
    </row>
    <row r="45" spans="1:21">
      <c r="A45" s="60" t="s">
        <v>389</v>
      </c>
      <c r="B45" s="331" t="s">
        <v>390</v>
      </c>
      <c r="C45" s="332"/>
      <c r="D45" s="332"/>
      <c r="E45" s="333"/>
      <c r="F45" s="71">
        <v>5</v>
      </c>
      <c r="G45" s="86" t="e">
        <f>dane!#REF!</f>
        <v>#REF!</v>
      </c>
      <c r="H45" s="335"/>
      <c r="I45" s="87" t="e">
        <f>G45</f>
        <v>#REF!</v>
      </c>
      <c r="J45" s="67" t="e">
        <f>IF(I45&gt;5,5,I45)</f>
        <v>#REF!</v>
      </c>
    </row>
    <row r="46" spans="1:21">
      <c r="A46" s="345" t="s">
        <v>391</v>
      </c>
      <c r="B46" s="331" t="s">
        <v>392</v>
      </c>
      <c r="C46" s="332"/>
      <c r="D46" s="332"/>
      <c r="E46" s="333"/>
      <c r="F46" s="340">
        <v>7</v>
      </c>
      <c r="G46" s="341"/>
      <c r="H46" s="335"/>
    </row>
    <row r="47" spans="1:21">
      <c r="A47" s="345"/>
      <c r="B47" s="325" t="s">
        <v>393</v>
      </c>
      <c r="C47" s="326"/>
      <c r="D47" s="326"/>
      <c r="E47" s="327"/>
      <c r="F47" s="71">
        <v>7</v>
      </c>
      <c r="G47" s="72" t="str">
        <f>IF($J$47=7,7,"-")</f>
        <v>-</v>
      </c>
      <c r="H47" s="335"/>
      <c r="I47" s="72" t="str">
        <f>dane!D3</f>
        <v>(wybierz)</v>
      </c>
      <c r="J47" s="67">
        <f>SUM(K47:Y51)</f>
        <v>0</v>
      </c>
      <c r="K47" s="73">
        <f>IF($I$47="poznański",7,0)</f>
        <v>0</v>
      </c>
      <c r="L47" s="73">
        <f>IF($I$47="ostrowski",7,0)</f>
        <v>0</v>
      </c>
      <c r="M47" s="73">
        <f>IF($I$47="leszczyński",7,0)</f>
        <v>0</v>
      </c>
    </row>
    <row r="48" spans="1:21">
      <c r="A48" s="345"/>
      <c r="B48" s="325" t="s">
        <v>394</v>
      </c>
      <c r="C48" s="326"/>
      <c r="D48" s="326"/>
      <c r="E48" s="327"/>
      <c r="F48" s="71">
        <v>5</v>
      </c>
      <c r="G48" s="72" t="str">
        <f>IF($J$47=5,5,"-")</f>
        <v>-</v>
      </c>
      <c r="H48" s="335"/>
      <c r="K48" s="73">
        <f>IF($I$47="M. Leszno",5,0)</f>
        <v>0</v>
      </c>
      <c r="L48" s="73">
        <f>IF($I$47="M. Kalisz",5,0)</f>
        <v>0</v>
      </c>
      <c r="M48" s="73">
        <f>IF($I$47="gnieźnieński",5,0)</f>
        <v>0</v>
      </c>
      <c r="N48" s="73">
        <f>IF($I$47="szamotulski",5,0)</f>
        <v>0</v>
      </c>
      <c r="O48" s="73">
        <f>IF($I$47="pilski",5,0)</f>
        <v>0</v>
      </c>
      <c r="P48" s="73">
        <f>IF($I$47="kościański",5,0)</f>
        <v>0</v>
      </c>
      <c r="Q48" s="73">
        <f>IF($I$47="ostrzeszowski",5,0)</f>
        <v>0</v>
      </c>
    </row>
    <row r="49" spans="1:25">
      <c r="A49" s="345"/>
      <c r="B49" s="325" t="s">
        <v>395</v>
      </c>
      <c r="C49" s="326"/>
      <c r="D49" s="326"/>
      <c r="E49" s="327"/>
      <c r="F49" s="71">
        <v>3</v>
      </c>
      <c r="G49" s="72" t="str">
        <f>IF($J$47=3,3,"-")</f>
        <v>-</v>
      </c>
      <c r="H49" s="335"/>
      <c r="K49" s="73">
        <f>IF($I$47="koniński",3,0)</f>
        <v>0</v>
      </c>
      <c r="L49" s="73">
        <f>IF($I$47="międzychodzki",3,0)</f>
        <v>0</v>
      </c>
      <c r="M49" s="73">
        <f>IF($I$47="czarnkowsko-trzcianecki",3,0)</f>
        <v>0</v>
      </c>
      <c r="N49" s="73">
        <f>IF($I$47="gostyński",3,0)</f>
        <v>0</v>
      </c>
    </row>
    <row r="50" spans="1:25">
      <c r="A50" s="345"/>
      <c r="B50" s="325" t="s">
        <v>396</v>
      </c>
      <c r="C50" s="326"/>
      <c r="D50" s="326"/>
      <c r="E50" s="327"/>
      <c r="F50" s="71">
        <v>2</v>
      </c>
      <c r="G50" s="72" t="str">
        <f>IF($J$47=2,2,"-")</f>
        <v>-</v>
      </c>
      <c r="H50" s="335"/>
      <c r="K50" s="73">
        <f>IF($I$47="pleszewski",2,0)</f>
        <v>0</v>
      </c>
      <c r="L50" s="73">
        <f>IF($I$47="słupecki",2,0)</f>
        <v>0</v>
      </c>
      <c r="M50" s="73">
        <f>IF($I$47="rawicki",2,0)</f>
        <v>0</v>
      </c>
      <c r="N50" s="73">
        <f>IF($I$47="obornicki",2,0)</f>
        <v>0</v>
      </c>
    </row>
    <row r="51" spans="1:25">
      <c r="A51" s="345"/>
      <c r="B51" s="325" t="s">
        <v>397</v>
      </c>
      <c r="C51" s="326"/>
      <c r="D51" s="326"/>
      <c r="E51" s="327"/>
      <c r="F51" s="71">
        <v>1</v>
      </c>
      <c r="G51" s="72" t="str">
        <f>IF($J$47=1,1,"-")</f>
        <v>-</v>
      </c>
      <c r="H51" s="336"/>
      <c r="K51" s="73">
        <f>IF($I$47="chodzieski",1,0)</f>
        <v>0</v>
      </c>
      <c r="L51" s="73">
        <f>IF($I$47="grodziski",1,0)</f>
        <v>0</v>
      </c>
      <c r="M51" s="73">
        <f>IF($I$47="złotowski",1,0)</f>
        <v>0</v>
      </c>
      <c r="N51" s="73">
        <f>IF($I$47="M. Konin",1,0)</f>
        <v>0</v>
      </c>
      <c r="O51" s="73">
        <f>IF($I$47="turecki",1,0)</f>
        <v>0</v>
      </c>
      <c r="P51" s="73">
        <f>IF($I$47="krotoszyński",1,0)</f>
        <v>0</v>
      </c>
      <c r="Q51" s="73">
        <f>IF($I$47="wągrowiecki",1,0)</f>
        <v>0</v>
      </c>
      <c r="R51" s="73">
        <f>IF($I$47="jarociński",1,0)</f>
        <v>0</v>
      </c>
      <c r="S51" s="73">
        <f>IF($I$47="średzki",1,0)</f>
        <v>0</v>
      </c>
      <c r="T51" s="73">
        <f>IF($I$47="wrzesiński",1,0)</f>
        <v>0</v>
      </c>
      <c r="U51" s="73">
        <f>IF($I$47="kolski",1,0)</f>
        <v>0</v>
      </c>
      <c r="V51" s="73">
        <f>IF($I$47="nowotomyski",1,0)</f>
        <v>0</v>
      </c>
      <c r="W51" s="73">
        <f>IF($I$47="kępiński",1,0)</f>
        <v>0</v>
      </c>
      <c r="X51" s="73">
        <f>IF($I$47="śremski",1,0)</f>
        <v>0</v>
      </c>
      <c r="Y51" s="73">
        <f>IF($I$47="wolsztyński",1,0)</f>
        <v>0</v>
      </c>
    </row>
    <row r="52" spans="1:25" ht="27" customHeight="1">
      <c r="A52" s="60" t="s">
        <v>398</v>
      </c>
      <c r="B52" s="328" t="s">
        <v>400</v>
      </c>
      <c r="C52" s="328"/>
      <c r="D52" s="328"/>
      <c r="E52" s="328"/>
      <c r="F52" s="161">
        <v>4</v>
      </c>
      <c r="G52" s="88" t="e">
        <f>dane!#REF!</f>
        <v>#REF!</v>
      </c>
      <c r="H52" s="69" t="e">
        <f>J52</f>
        <v>#REF!</v>
      </c>
      <c r="I52" s="83" t="e">
        <f>F52*G52</f>
        <v>#REF!</v>
      </c>
      <c r="J52" s="67" t="e">
        <f>IF(I52&gt;4,4,I52)</f>
        <v>#REF!</v>
      </c>
    </row>
    <row r="53" spans="1:25" ht="43.5" customHeight="1">
      <c r="A53" s="162" t="s">
        <v>503</v>
      </c>
      <c r="B53" s="321" t="s">
        <v>399</v>
      </c>
      <c r="C53" s="322"/>
      <c r="D53" s="322"/>
      <c r="E53" s="322"/>
      <c r="F53" s="329">
        <v>6</v>
      </c>
      <c r="G53" s="330"/>
      <c r="H53" s="68">
        <v>5</v>
      </c>
    </row>
    <row r="54" spans="1:25" ht="15">
      <c r="F54" s="323" t="s">
        <v>401</v>
      </c>
      <c r="G54" s="324"/>
      <c r="H54" s="89" t="e">
        <f>H40+I37+H19+H12+H52+H53</f>
        <v>#REF!</v>
      </c>
    </row>
    <row r="55" spans="1:25" ht="18.75" customHeight="1"/>
    <row r="56" spans="1:25" ht="37.5" customHeight="1"/>
    <row r="57" spans="1:25" ht="38.25" customHeight="1"/>
    <row r="58" spans="1:25" ht="37.5" customHeight="1"/>
    <row r="59" spans="1:25" ht="38.25" customHeight="1"/>
    <row r="60" spans="1:25" ht="36" customHeight="1"/>
  </sheetData>
  <mergeCells count="72">
    <mergeCell ref="H12:H17"/>
    <mergeCell ref="B13:E13"/>
    <mergeCell ref="B14:E14"/>
    <mergeCell ref="B15:E15"/>
    <mergeCell ref="A16:A17"/>
    <mergeCell ref="G1:H1"/>
    <mergeCell ref="A2:H2"/>
    <mergeCell ref="C4:H4"/>
    <mergeCell ref="C6:H6"/>
    <mergeCell ref="D8:H8"/>
    <mergeCell ref="A20:A22"/>
    <mergeCell ref="F20:G20"/>
    <mergeCell ref="B21:E21"/>
    <mergeCell ref="B22:E22"/>
    <mergeCell ref="B10:G10"/>
    <mergeCell ref="B11:G11"/>
    <mergeCell ref="A12:A15"/>
    <mergeCell ref="B12:E12"/>
    <mergeCell ref="F12:G12"/>
    <mergeCell ref="F16:G16"/>
    <mergeCell ref="B17:E17"/>
    <mergeCell ref="B18:G18"/>
    <mergeCell ref="B19:E19"/>
    <mergeCell ref="B16:E16"/>
    <mergeCell ref="H19:H28"/>
    <mergeCell ref="B32:E32"/>
    <mergeCell ref="F32:G32"/>
    <mergeCell ref="B24:E24"/>
    <mergeCell ref="B25:E25"/>
    <mergeCell ref="B26:E26"/>
    <mergeCell ref="B27:E27"/>
    <mergeCell ref="B28:E28"/>
    <mergeCell ref="B29:E29"/>
    <mergeCell ref="F29:G29"/>
    <mergeCell ref="B30:E30"/>
    <mergeCell ref="F30:G30"/>
    <mergeCell ref="B31:E31"/>
    <mergeCell ref="F31:G31"/>
    <mergeCell ref="B23:E23"/>
    <mergeCell ref="B39:G39"/>
    <mergeCell ref="B33:E33"/>
    <mergeCell ref="F33:G33"/>
    <mergeCell ref="B34:E34"/>
    <mergeCell ref="F34:G34"/>
    <mergeCell ref="B35:E35"/>
    <mergeCell ref="F35:G35"/>
    <mergeCell ref="B36:E36"/>
    <mergeCell ref="F36:G36"/>
    <mergeCell ref="B37:E37"/>
    <mergeCell ref="F37:G37"/>
    <mergeCell ref="B38:G38"/>
    <mergeCell ref="B40:E40"/>
    <mergeCell ref="H40:H51"/>
    <mergeCell ref="A41:A43"/>
    <mergeCell ref="B41:E41"/>
    <mergeCell ref="F41:G41"/>
    <mergeCell ref="B42:E42"/>
    <mergeCell ref="B43:E43"/>
    <mergeCell ref="B44:E44"/>
    <mergeCell ref="B45:E45"/>
    <mergeCell ref="A46:A51"/>
    <mergeCell ref="B46:E46"/>
    <mergeCell ref="F46:G46"/>
    <mergeCell ref="B47:E47"/>
    <mergeCell ref="B48:E48"/>
    <mergeCell ref="B49:E49"/>
    <mergeCell ref="B53:E53"/>
    <mergeCell ref="F54:G54"/>
    <mergeCell ref="B51:E51"/>
    <mergeCell ref="B52:E52"/>
    <mergeCell ref="B50:E50"/>
    <mergeCell ref="F53:G53"/>
  </mergeCells>
  <pageMargins left="0.7" right="0.7" top="0.75" bottom="0.75" header="0.3" footer="0.3"/>
  <pageSetup paperSize="9" scale="2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B3:R41"/>
  <sheetViews>
    <sheetView workbookViewId="0">
      <selection activeCell="J37" sqref="J37"/>
    </sheetView>
  </sheetViews>
  <sheetFormatPr defaultRowHeight="15"/>
  <cols>
    <col min="14" max="14" width="23.85546875" customWidth="1"/>
    <col min="17" max="17" width="30" customWidth="1"/>
  </cols>
  <sheetData>
    <row r="3" spans="2:18" ht="15.75">
      <c r="B3" s="90"/>
      <c r="H3" s="90"/>
    </row>
    <row r="5" spans="2:18" s="91" customFormat="1" ht="15.75">
      <c r="B5" s="91" t="s">
        <v>402</v>
      </c>
      <c r="H5" s="91" t="s">
        <v>403</v>
      </c>
      <c r="N5" s="91" t="s">
        <v>404</v>
      </c>
      <c r="Q5" s="92" t="s">
        <v>405</v>
      </c>
    </row>
    <row r="6" spans="2:18">
      <c r="B6" t="s">
        <v>406</v>
      </c>
    </row>
    <row r="7" spans="2:18" ht="15.75">
      <c r="B7" t="s">
        <v>274</v>
      </c>
      <c r="E7">
        <v>0.5</v>
      </c>
      <c r="H7" t="s">
        <v>407</v>
      </c>
      <c r="J7">
        <v>1</v>
      </c>
      <c r="N7" s="93" t="s">
        <v>408</v>
      </c>
      <c r="O7">
        <v>8</v>
      </c>
      <c r="Q7" s="94" t="s">
        <v>409</v>
      </c>
      <c r="R7">
        <v>7</v>
      </c>
    </row>
    <row r="8" spans="2:18" ht="15.75">
      <c r="B8" t="s">
        <v>265</v>
      </c>
      <c r="H8" t="s">
        <v>410</v>
      </c>
      <c r="N8" s="93" t="s">
        <v>411</v>
      </c>
      <c r="O8">
        <v>7</v>
      </c>
      <c r="Q8" s="94" t="s">
        <v>276</v>
      </c>
    </row>
    <row r="9" spans="2:18" ht="15.75">
      <c r="B9" t="s">
        <v>410</v>
      </c>
      <c r="H9" t="s">
        <v>288</v>
      </c>
      <c r="N9" s="93" t="s">
        <v>412</v>
      </c>
      <c r="O9">
        <v>6</v>
      </c>
      <c r="Q9" s="94" t="s">
        <v>272</v>
      </c>
    </row>
    <row r="10" spans="2:18" ht="15.75">
      <c r="B10" t="s">
        <v>288</v>
      </c>
      <c r="H10" t="s">
        <v>97</v>
      </c>
      <c r="N10" s="93" t="s">
        <v>413</v>
      </c>
      <c r="O10">
        <v>5</v>
      </c>
      <c r="Q10" s="94" t="s">
        <v>268</v>
      </c>
    </row>
    <row r="11" spans="2:18" ht="15.75">
      <c r="B11" t="s">
        <v>100</v>
      </c>
      <c r="H11" t="s">
        <v>414</v>
      </c>
      <c r="N11" s="93" t="s">
        <v>415</v>
      </c>
      <c r="O11">
        <v>4</v>
      </c>
      <c r="Q11" s="94" t="s">
        <v>262</v>
      </c>
    </row>
    <row r="12" spans="2:18" ht="15.75">
      <c r="B12" t="s">
        <v>257</v>
      </c>
      <c r="H12" t="s">
        <v>416</v>
      </c>
      <c r="N12" s="93" t="s">
        <v>417</v>
      </c>
      <c r="O12">
        <v>3</v>
      </c>
      <c r="Q12" s="95" t="s">
        <v>418</v>
      </c>
      <c r="R12">
        <v>5</v>
      </c>
    </row>
    <row r="13" spans="2:18" ht="15.75">
      <c r="B13" t="s">
        <v>259</v>
      </c>
      <c r="H13" t="s">
        <v>228</v>
      </c>
      <c r="N13" s="93" t="s">
        <v>419</v>
      </c>
      <c r="O13">
        <v>2</v>
      </c>
      <c r="Q13" s="95" t="s">
        <v>258</v>
      </c>
    </row>
    <row r="14" spans="2:18" ht="15.75">
      <c r="B14" t="s">
        <v>267</v>
      </c>
      <c r="H14" t="s">
        <v>420</v>
      </c>
      <c r="N14" s="93" t="s">
        <v>421</v>
      </c>
      <c r="O14">
        <v>1</v>
      </c>
      <c r="Q14" s="95" t="s">
        <v>279</v>
      </c>
    </row>
    <row r="15" spans="2:18" ht="15.75">
      <c r="B15" t="s">
        <v>273</v>
      </c>
      <c r="H15" t="s">
        <v>422</v>
      </c>
      <c r="N15" s="90" t="s">
        <v>423</v>
      </c>
      <c r="O15">
        <v>0</v>
      </c>
      <c r="Q15" s="95" t="s">
        <v>274</v>
      </c>
    </row>
    <row r="16" spans="2:18">
      <c r="B16" t="s">
        <v>263</v>
      </c>
      <c r="H16" t="s">
        <v>66</v>
      </c>
      <c r="Q16" s="95" t="s">
        <v>424</v>
      </c>
    </row>
    <row r="17" spans="2:18">
      <c r="H17" t="s">
        <v>425</v>
      </c>
      <c r="Q17" s="95" t="s">
        <v>266</v>
      </c>
    </row>
    <row r="18" spans="2:18">
      <c r="B18" t="s">
        <v>286</v>
      </c>
      <c r="E18">
        <v>1</v>
      </c>
      <c r="H18" t="s">
        <v>426</v>
      </c>
      <c r="Q18" s="95" t="s">
        <v>273</v>
      </c>
    </row>
    <row r="19" spans="2:18">
      <c r="B19" t="s">
        <v>262</v>
      </c>
      <c r="Q19" s="96" t="s">
        <v>265</v>
      </c>
      <c r="R19">
        <v>3</v>
      </c>
    </row>
    <row r="20" spans="2:18">
      <c r="B20" t="s">
        <v>272</v>
      </c>
      <c r="Q20" s="96" t="s">
        <v>269</v>
      </c>
    </row>
    <row r="21" spans="2:18">
      <c r="B21" t="s">
        <v>427</v>
      </c>
      <c r="Q21" s="96" t="s">
        <v>257</v>
      </c>
    </row>
    <row r="22" spans="2:18">
      <c r="B22" t="s">
        <v>287</v>
      </c>
      <c r="Q22" s="96" t="s">
        <v>259</v>
      </c>
    </row>
    <row r="23" spans="2:18">
      <c r="B23" t="s">
        <v>83</v>
      </c>
      <c r="Q23" s="97" t="s">
        <v>275</v>
      </c>
      <c r="R23">
        <v>2</v>
      </c>
    </row>
    <row r="24" spans="2:18">
      <c r="Q24" s="97" t="s">
        <v>278</v>
      </c>
    </row>
    <row r="25" spans="2:18">
      <c r="Q25" s="97" t="s">
        <v>277</v>
      </c>
    </row>
    <row r="26" spans="2:18">
      <c r="Q26" s="97" t="s">
        <v>271</v>
      </c>
    </row>
    <row r="27" spans="2:18">
      <c r="Q27" s="98" t="s">
        <v>256</v>
      </c>
      <c r="R27">
        <v>1</v>
      </c>
    </row>
    <row r="28" spans="2:18">
      <c r="Q28" s="98" t="s">
        <v>260</v>
      </c>
    </row>
    <row r="29" spans="2:18">
      <c r="Q29" s="98" t="s">
        <v>286</v>
      </c>
    </row>
    <row r="30" spans="2:18">
      <c r="Q30" s="98" t="s">
        <v>428</v>
      </c>
    </row>
    <row r="31" spans="2:18">
      <c r="Q31" s="98" t="s">
        <v>282</v>
      </c>
    </row>
    <row r="32" spans="2:18">
      <c r="Q32" s="98" t="s">
        <v>267</v>
      </c>
    </row>
    <row r="33" spans="17:17">
      <c r="Q33" s="98" t="s">
        <v>283</v>
      </c>
    </row>
    <row r="34" spans="17:17">
      <c r="Q34" s="98" t="s">
        <v>261</v>
      </c>
    </row>
    <row r="35" spans="17:17">
      <c r="Q35" s="98" t="s">
        <v>280</v>
      </c>
    </row>
    <row r="36" spans="17:17">
      <c r="Q36" s="98" t="s">
        <v>285</v>
      </c>
    </row>
    <row r="37" spans="17:17">
      <c r="Q37" s="98" t="s">
        <v>264</v>
      </c>
    </row>
    <row r="38" spans="17:17">
      <c r="Q38" s="98" t="s">
        <v>270</v>
      </c>
    </row>
    <row r="39" spans="17:17">
      <c r="Q39" s="98" t="s">
        <v>263</v>
      </c>
    </row>
    <row r="40" spans="17:17">
      <c r="Q40" s="98" t="s">
        <v>281</v>
      </c>
    </row>
    <row r="41" spans="17:17">
      <c r="Q41" s="98" t="s">
        <v>284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2:AMK33"/>
  <sheetViews>
    <sheetView zoomScale="40" zoomScaleNormal="40" workbookViewId="0">
      <selection activeCell="J37" sqref="J37"/>
    </sheetView>
  </sheetViews>
  <sheetFormatPr defaultColWidth="9.140625" defaultRowHeight="18"/>
  <cols>
    <col min="1" max="1" width="6.42578125" style="100" customWidth="1"/>
    <col min="2" max="2" width="19" style="100" customWidth="1"/>
    <col min="3" max="3" width="12.140625" style="100" customWidth="1"/>
    <col min="4" max="4" width="27.140625" style="100" customWidth="1"/>
    <col min="5" max="5" width="26.42578125" style="100" customWidth="1"/>
    <col min="6" max="6" width="22" style="100" customWidth="1"/>
    <col min="7" max="7" width="20.85546875" style="100" customWidth="1"/>
    <col min="8" max="8" width="22.85546875" style="100" customWidth="1"/>
    <col min="9" max="9" width="15.28515625" style="100" customWidth="1"/>
    <col min="10" max="10" width="18.42578125" style="100" customWidth="1"/>
    <col min="11" max="11" width="26.42578125" style="100" customWidth="1"/>
    <col min="12" max="12" width="12.85546875" style="100" customWidth="1"/>
    <col min="13" max="13" width="17.85546875" style="100" customWidth="1"/>
    <col min="14" max="14" width="14.85546875" style="100" customWidth="1"/>
    <col min="15" max="15" width="14.42578125" style="100" customWidth="1"/>
    <col min="16" max="20" width="18.42578125" style="100" customWidth="1"/>
    <col min="21" max="21" width="25.5703125" style="100" customWidth="1"/>
    <col min="22" max="827" width="18.42578125" style="100" customWidth="1"/>
    <col min="828" max="1025" width="8.5703125" style="101" customWidth="1"/>
    <col min="1026" max="16384" width="9.140625" style="133"/>
  </cols>
  <sheetData>
    <row r="2" spans="1:1024" ht="36" customHeight="1" thickBot="1">
      <c r="A2" s="384" t="s">
        <v>7</v>
      </c>
      <c r="B2" s="385" t="s">
        <v>308</v>
      </c>
      <c r="C2" s="385" t="s">
        <v>429</v>
      </c>
      <c r="D2" s="382" t="s">
        <v>430</v>
      </c>
      <c r="E2" s="99" t="s">
        <v>431</v>
      </c>
      <c r="F2" s="382" t="s">
        <v>432</v>
      </c>
      <c r="G2" s="382"/>
      <c r="H2" s="382"/>
      <c r="I2" s="99"/>
      <c r="J2" s="382" t="s">
        <v>433</v>
      </c>
      <c r="K2" s="382" t="s">
        <v>434</v>
      </c>
      <c r="L2" s="383" t="s">
        <v>435</v>
      </c>
      <c r="M2" s="382" t="s">
        <v>436</v>
      </c>
      <c r="N2" s="382" t="s">
        <v>437</v>
      </c>
      <c r="O2" s="382" t="s">
        <v>438</v>
      </c>
      <c r="P2" s="382" t="s">
        <v>439</v>
      </c>
      <c r="Q2" s="382" t="s">
        <v>440</v>
      </c>
    </row>
    <row r="3" spans="1:1024" ht="63.95" customHeight="1" thickBot="1">
      <c r="A3" s="384"/>
      <c r="B3" s="385"/>
      <c r="C3" s="385"/>
      <c r="D3" s="382"/>
      <c r="E3" s="102" t="s">
        <v>441</v>
      </c>
      <c r="F3" s="99" t="s">
        <v>442</v>
      </c>
      <c r="G3" s="99" t="s">
        <v>443</v>
      </c>
      <c r="H3" s="99" t="s">
        <v>444</v>
      </c>
      <c r="I3" s="99" t="s">
        <v>445</v>
      </c>
      <c r="J3" s="382"/>
      <c r="K3" s="382"/>
      <c r="L3" s="383"/>
      <c r="M3" s="382"/>
      <c r="N3" s="382"/>
      <c r="O3" s="382"/>
      <c r="P3" s="382"/>
      <c r="Q3" s="382"/>
    </row>
    <row r="4" spans="1:1024" s="109" customFormat="1" ht="63.95" customHeight="1">
      <c r="A4" s="103"/>
      <c r="B4" s="104" t="s">
        <v>446</v>
      </c>
      <c r="C4" s="105"/>
      <c r="D4" s="105">
        <f t="shared" ref="D4:K4" si="0">SUM(D5:D32)</f>
        <v>1081922472.8100002</v>
      </c>
      <c r="E4" s="105">
        <f t="shared" si="0"/>
        <v>1003465898</v>
      </c>
      <c r="F4" s="105">
        <f t="shared" si="0"/>
        <v>116382290</v>
      </c>
      <c r="G4" s="105">
        <f t="shared" si="0"/>
        <v>823137410</v>
      </c>
      <c r="H4" s="105">
        <f t="shared" si="0"/>
        <v>63946198</v>
      </c>
      <c r="I4" s="105">
        <f t="shared" si="0"/>
        <v>0</v>
      </c>
      <c r="J4" s="105">
        <f t="shared" si="0"/>
        <v>2534193</v>
      </c>
      <c r="K4" s="105">
        <f t="shared" si="0"/>
        <v>32760941</v>
      </c>
      <c r="L4" s="106"/>
      <c r="M4" s="107"/>
      <c r="N4" s="107"/>
      <c r="O4" s="107"/>
      <c r="P4" s="107">
        <f t="shared" ref="P4:P32" si="1">D4/J4</f>
        <v>426.92978506767253</v>
      </c>
      <c r="Q4" s="108">
        <f>P4/$P$4</f>
        <v>1</v>
      </c>
      <c r="U4" s="110" t="s">
        <v>404</v>
      </c>
      <c r="V4" s="110"/>
      <c r="AEV4" s="111"/>
      <c r="AEW4" s="111"/>
      <c r="AEX4" s="111"/>
      <c r="AEY4" s="111"/>
      <c r="AEZ4" s="111"/>
      <c r="AFA4" s="111"/>
      <c r="AFB4" s="111"/>
      <c r="AFC4" s="111"/>
      <c r="AFD4" s="111"/>
      <c r="AFE4" s="111"/>
      <c r="AFF4" s="111"/>
      <c r="AFG4" s="111"/>
      <c r="AFH4" s="111"/>
      <c r="AFI4" s="111"/>
      <c r="AFJ4" s="111"/>
      <c r="AFK4" s="111"/>
      <c r="AFL4" s="111"/>
      <c r="AFM4" s="111"/>
      <c r="AFN4" s="111"/>
      <c r="AFO4" s="111"/>
      <c r="AFP4" s="111"/>
      <c r="AFQ4" s="111"/>
      <c r="AFR4" s="111"/>
      <c r="AFS4" s="111"/>
      <c r="AFT4" s="111"/>
      <c r="AFU4" s="111"/>
      <c r="AFV4" s="111"/>
      <c r="AFW4" s="111"/>
      <c r="AFX4" s="111"/>
      <c r="AFY4" s="111"/>
      <c r="AFZ4" s="111"/>
      <c r="AGA4" s="111"/>
      <c r="AGB4" s="111"/>
      <c r="AGC4" s="111"/>
      <c r="AGD4" s="111"/>
      <c r="AGE4" s="111"/>
      <c r="AGF4" s="111"/>
      <c r="AGG4" s="111"/>
      <c r="AGH4" s="111"/>
      <c r="AGI4" s="111"/>
      <c r="AGJ4" s="111"/>
      <c r="AGK4" s="111"/>
      <c r="AGL4" s="111"/>
      <c r="AGM4" s="111"/>
      <c r="AGN4" s="111"/>
      <c r="AGO4" s="111"/>
      <c r="AGP4" s="111"/>
      <c r="AGQ4" s="111"/>
      <c r="AGR4" s="111"/>
      <c r="AGS4" s="111"/>
      <c r="AGT4" s="111"/>
      <c r="AGU4" s="111"/>
      <c r="AGV4" s="111"/>
      <c r="AGW4" s="111"/>
      <c r="AGX4" s="111"/>
      <c r="AGY4" s="111"/>
      <c r="AGZ4" s="111"/>
      <c r="AHA4" s="111"/>
      <c r="AHB4" s="111"/>
      <c r="AHC4" s="111"/>
      <c r="AHD4" s="111"/>
      <c r="AHE4" s="111"/>
      <c r="AHF4" s="111"/>
      <c r="AHG4" s="111"/>
      <c r="AHH4" s="111"/>
      <c r="AHI4" s="111"/>
      <c r="AHJ4" s="111"/>
      <c r="AHK4" s="111"/>
      <c r="AHL4" s="111"/>
      <c r="AHM4" s="111"/>
      <c r="AHN4" s="111"/>
      <c r="AHO4" s="111"/>
      <c r="AHP4" s="111"/>
      <c r="AHQ4" s="111"/>
      <c r="AHR4" s="111"/>
      <c r="AHS4" s="111"/>
      <c r="AHT4" s="111"/>
      <c r="AHU4" s="111"/>
      <c r="AHV4" s="111"/>
      <c r="AHW4" s="111"/>
      <c r="AHX4" s="111"/>
      <c r="AHY4" s="111"/>
      <c r="AHZ4" s="111"/>
      <c r="AIA4" s="111"/>
      <c r="AIB4" s="111"/>
      <c r="AIC4" s="111"/>
      <c r="AID4" s="111"/>
      <c r="AIE4" s="111"/>
      <c r="AIF4" s="111"/>
      <c r="AIG4" s="111"/>
      <c r="AIH4" s="111"/>
      <c r="AII4" s="111"/>
      <c r="AIJ4" s="111"/>
      <c r="AIK4" s="111"/>
      <c r="AIL4" s="111"/>
      <c r="AIM4" s="111"/>
      <c r="AIN4" s="111"/>
      <c r="AIO4" s="111"/>
      <c r="AIP4" s="111"/>
      <c r="AIQ4" s="111"/>
      <c r="AIR4" s="111"/>
      <c r="AIS4" s="111"/>
      <c r="AIT4" s="111"/>
      <c r="AIU4" s="111"/>
      <c r="AIV4" s="111"/>
      <c r="AIW4" s="111"/>
      <c r="AIX4" s="111"/>
      <c r="AIY4" s="111"/>
      <c r="AIZ4" s="111"/>
      <c r="AJA4" s="111"/>
      <c r="AJB4" s="111"/>
      <c r="AJC4" s="111"/>
      <c r="AJD4" s="111"/>
      <c r="AJE4" s="111"/>
      <c r="AJF4" s="111"/>
      <c r="AJG4" s="111"/>
      <c r="AJH4" s="111"/>
      <c r="AJI4" s="111"/>
      <c r="AJJ4" s="111"/>
      <c r="AJK4" s="111"/>
      <c r="AJL4" s="111"/>
      <c r="AJM4" s="111"/>
      <c r="AJN4" s="111"/>
      <c r="AJO4" s="111"/>
      <c r="AJP4" s="111"/>
      <c r="AJQ4" s="111"/>
      <c r="AJR4" s="111"/>
      <c r="AJS4" s="111"/>
      <c r="AJT4" s="111"/>
      <c r="AJU4" s="111"/>
      <c r="AJV4" s="111"/>
      <c r="AJW4" s="111"/>
      <c r="AJX4" s="111"/>
      <c r="AJY4" s="111"/>
      <c r="AJZ4" s="111"/>
      <c r="AKA4" s="111"/>
      <c r="AKB4" s="111"/>
      <c r="AKC4" s="111"/>
      <c r="AKD4" s="111"/>
      <c r="AKE4" s="111"/>
      <c r="AKF4" s="111"/>
      <c r="AKG4" s="111"/>
      <c r="AKH4" s="111"/>
      <c r="AKI4" s="111"/>
      <c r="AKJ4" s="111"/>
      <c r="AKK4" s="111"/>
      <c r="AKL4" s="111"/>
      <c r="AKM4" s="111"/>
      <c r="AKN4" s="111"/>
      <c r="AKO4" s="111"/>
      <c r="AKP4" s="111"/>
      <c r="AKQ4" s="111"/>
      <c r="AKR4" s="111"/>
      <c r="AKS4" s="111"/>
      <c r="AKT4" s="111"/>
      <c r="AKU4" s="111"/>
      <c r="AKV4" s="111"/>
      <c r="AKW4" s="111"/>
      <c r="AKX4" s="111"/>
      <c r="AKY4" s="111"/>
      <c r="AKZ4" s="111"/>
      <c r="ALA4" s="111"/>
      <c r="ALB4" s="111"/>
      <c r="ALC4" s="111"/>
      <c r="ALD4" s="111"/>
      <c r="ALE4" s="111"/>
      <c r="ALF4" s="111"/>
      <c r="ALG4" s="111"/>
      <c r="ALH4" s="111"/>
      <c r="ALI4" s="111"/>
      <c r="ALJ4" s="111"/>
      <c r="ALK4" s="111"/>
      <c r="ALL4" s="111"/>
      <c r="ALM4" s="111"/>
      <c r="ALN4" s="111"/>
      <c r="ALO4" s="111"/>
      <c r="ALP4" s="111"/>
      <c r="ALQ4" s="111"/>
      <c r="ALR4" s="111"/>
      <c r="ALS4" s="111"/>
      <c r="ALT4" s="111"/>
      <c r="ALU4" s="111"/>
      <c r="ALV4" s="111"/>
      <c r="ALW4" s="111"/>
      <c r="ALX4" s="111"/>
      <c r="ALY4" s="111"/>
      <c r="ALZ4" s="111"/>
      <c r="AMA4" s="111"/>
      <c r="AMB4" s="111"/>
      <c r="AMC4" s="111"/>
      <c r="AMD4" s="111"/>
      <c r="AME4" s="111"/>
      <c r="AMF4" s="111"/>
      <c r="AMG4" s="111"/>
      <c r="AMH4" s="111"/>
      <c r="AMI4" s="111"/>
      <c r="AMJ4" s="111"/>
    </row>
    <row r="5" spans="1:1024" ht="76.7" customHeight="1">
      <c r="A5" s="112">
        <v>1</v>
      </c>
      <c r="B5" s="113" t="s">
        <v>447</v>
      </c>
      <c r="C5" s="114">
        <v>3001</v>
      </c>
      <c r="D5" s="115">
        <v>21348931.309999999</v>
      </c>
      <c r="E5" s="116">
        <f t="shared" ref="E5:E32" si="2">F5+G5+H5</f>
        <v>23268857</v>
      </c>
      <c r="F5" s="116">
        <v>2587952</v>
      </c>
      <c r="G5" s="117">
        <v>20232940</v>
      </c>
      <c r="H5" s="117">
        <v>447965</v>
      </c>
      <c r="I5" s="113"/>
      <c r="J5" s="118">
        <v>47229</v>
      </c>
      <c r="K5" s="119">
        <v>0</v>
      </c>
      <c r="L5" s="120">
        <f t="shared" ref="L5:L32" si="3">((D5-K5+F5+H5)/J5)/494.18</f>
        <v>1.0447831098649398</v>
      </c>
      <c r="M5" s="119"/>
      <c r="N5" s="119"/>
      <c r="O5" s="107"/>
      <c r="P5" s="107">
        <f t="shared" si="1"/>
        <v>452.03013635689933</v>
      </c>
      <c r="Q5" s="108">
        <f t="shared" ref="Q5:Q32" si="4">P5/$P$4</f>
        <v>1.0587926918363124</v>
      </c>
      <c r="U5" s="121"/>
      <c r="V5" s="121"/>
    </row>
    <row r="6" spans="1:1024" ht="56.85" customHeight="1">
      <c r="A6" s="112">
        <v>2</v>
      </c>
      <c r="B6" s="122" t="s">
        <v>448</v>
      </c>
      <c r="C6" s="123">
        <v>3003</v>
      </c>
      <c r="D6" s="124">
        <v>53789422.369999997</v>
      </c>
      <c r="E6" s="125">
        <f t="shared" si="2"/>
        <v>71937021</v>
      </c>
      <c r="F6" s="125">
        <v>6872216</v>
      </c>
      <c r="G6" s="126">
        <v>62862302</v>
      </c>
      <c r="H6" s="126">
        <v>2202503</v>
      </c>
      <c r="I6" s="122"/>
      <c r="J6" s="127">
        <v>145317</v>
      </c>
      <c r="K6" s="128">
        <v>0</v>
      </c>
      <c r="L6" s="108">
        <f t="shared" si="3"/>
        <v>0.87538963402081726</v>
      </c>
      <c r="M6" s="128"/>
      <c r="N6" s="128"/>
      <c r="O6" s="107"/>
      <c r="P6" s="107">
        <f t="shared" si="1"/>
        <v>370.15230406628268</v>
      </c>
      <c r="Q6" s="108">
        <f t="shared" si="4"/>
        <v>0.86700979180360993</v>
      </c>
      <c r="U6" s="129" t="s">
        <v>408</v>
      </c>
      <c r="V6" s="121">
        <v>8</v>
      </c>
    </row>
    <row r="7" spans="1:1024" ht="72.599999999999994" customHeight="1">
      <c r="A7" s="112">
        <v>3</v>
      </c>
      <c r="B7" s="122" t="s">
        <v>449</v>
      </c>
      <c r="C7" s="123">
        <v>3004</v>
      </c>
      <c r="D7" s="124">
        <v>34417205.439999998</v>
      </c>
      <c r="E7" s="125">
        <f t="shared" si="2"/>
        <v>28317896</v>
      </c>
      <c r="F7" s="125">
        <v>1198370</v>
      </c>
      <c r="G7" s="126">
        <v>22563608</v>
      </c>
      <c r="H7" s="126">
        <v>4555918</v>
      </c>
      <c r="I7" s="122"/>
      <c r="J7" s="127">
        <v>76011</v>
      </c>
      <c r="K7" s="128">
        <v>0</v>
      </c>
      <c r="L7" s="108">
        <f t="shared" si="3"/>
        <v>1.0694398585407237</v>
      </c>
      <c r="M7" s="128"/>
      <c r="N7" s="128"/>
      <c r="O7" s="107"/>
      <c r="P7" s="107">
        <f t="shared" si="1"/>
        <v>452.79243056925969</v>
      </c>
      <c r="Q7" s="108">
        <f t="shared" si="4"/>
        <v>1.060578217791686</v>
      </c>
      <c r="U7" s="129" t="s">
        <v>411</v>
      </c>
      <c r="V7" s="121">
        <v>7</v>
      </c>
    </row>
    <row r="8" spans="1:1024" ht="42.75" customHeight="1">
      <c r="A8" s="112">
        <v>4</v>
      </c>
      <c r="B8" s="122" t="s">
        <v>450</v>
      </c>
      <c r="C8" s="123">
        <v>3005</v>
      </c>
      <c r="D8" s="124">
        <v>18206310.030000001</v>
      </c>
      <c r="E8" s="125">
        <f t="shared" si="2"/>
        <v>17773193</v>
      </c>
      <c r="F8" s="125">
        <v>2763935</v>
      </c>
      <c r="G8" s="126">
        <v>13909696</v>
      </c>
      <c r="H8" s="126">
        <v>1099562</v>
      </c>
      <c r="I8" s="122"/>
      <c r="J8" s="127">
        <v>51972</v>
      </c>
      <c r="K8" s="128">
        <v>0</v>
      </c>
      <c r="L8" s="108">
        <f t="shared" si="3"/>
        <v>0.85929827712389506</v>
      </c>
      <c r="M8" s="128"/>
      <c r="N8" s="128"/>
      <c r="O8" s="107"/>
      <c r="P8" s="107">
        <f t="shared" si="1"/>
        <v>350.30997517894252</v>
      </c>
      <c r="Q8" s="108">
        <f t="shared" si="4"/>
        <v>0.82053299495938181</v>
      </c>
      <c r="U8" s="129" t="s">
        <v>412</v>
      </c>
      <c r="V8" s="121">
        <v>6</v>
      </c>
    </row>
    <row r="9" spans="1:1024" ht="76.7" customHeight="1">
      <c r="A9" s="112">
        <v>5</v>
      </c>
      <c r="B9" s="122" t="s">
        <v>451</v>
      </c>
      <c r="C9" s="123">
        <v>3006</v>
      </c>
      <c r="D9" s="124">
        <v>26255508.449999999</v>
      </c>
      <c r="E9" s="125">
        <f t="shared" si="2"/>
        <v>37933728</v>
      </c>
      <c r="F9" s="125">
        <v>4305967</v>
      </c>
      <c r="G9" s="126">
        <v>32495535</v>
      </c>
      <c r="H9" s="126">
        <v>1132226</v>
      </c>
      <c r="I9" s="122"/>
      <c r="J9" s="127">
        <v>71686</v>
      </c>
      <c r="K9" s="128">
        <v>0</v>
      </c>
      <c r="L9" s="108">
        <f t="shared" si="3"/>
        <v>0.89465058378428453</v>
      </c>
      <c r="M9" s="128"/>
      <c r="N9" s="128"/>
      <c r="O9" s="107"/>
      <c r="P9" s="107">
        <f t="shared" si="1"/>
        <v>366.25712761208604</v>
      </c>
      <c r="Q9" s="108">
        <f t="shared" si="4"/>
        <v>0.85788609842255614</v>
      </c>
      <c r="U9" s="129" t="s">
        <v>413</v>
      </c>
      <c r="V9" s="121">
        <v>5</v>
      </c>
    </row>
    <row r="10" spans="1:1024" ht="51.2" customHeight="1">
      <c r="A10" s="112">
        <v>6</v>
      </c>
      <c r="B10" s="122" t="s">
        <v>452</v>
      </c>
      <c r="C10" s="123">
        <v>3007</v>
      </c>
      <c r="D10" s="124">
        <v>28855220.780000001</v>
      </c>
      <c r="E10" s="125">
        <f t="shared" si="2"/>
        <v>20840362</v>
      </c>
      <c r="F10" s="125">
        <v>6771198</v>
      </c>
      <c r="G10" s="126">
        <v>10419489</v>
      </c>
      <c r="H10" s="126">
        <v>3649675</v>
      </c>
      <c r="I10" s="122"/>
      <c r="J10" s="127">
        <v>83030</v>
      </c>
      <c r="K10" s="128">
        <v>0</v>
      </c>
      <c r="L10" s="108">
        <f t="shared" si="3"/>
        <v>0.95721189174083166</v>
      </c>
      <c r="M10" s="128"/>
      <c r="N10" s="128"/>
      <c r="O10" s="107"/>
      <c r="P10" s="107">
        <f t="shared" si="1"/>
        <v>347.52765000602193</v>
      </c>
      <c r="Q10" s="108">
        <f t="shared" si="4"/>
        <v>0.81401593929768901</v>
      </c>
      <c r="U10" s="129" t="s">
        <v>415</v>
      </c>
      <c r="V10" s="121">
        <v>4</v>
      </c>
    </row>
    <row r="11" spans="1:1024" ht="75.75" customHeight="1">
      <c r="A11" s="112">
        <v>7</v>
      </c>
      <c r="B11" s="122" t="s">
        <v>453</v>
      </c>
      <c r="C11" s="123">
        <v>3008</v>
      </c>
      <c r="D11" s="124">
        <v>28093303.010000002</v>
      </c>
      <c r="E11" s="125">
        <f t="shared" si="2"/>
        <v>21329602</v>
      </c>
      <c r="F11" s="125">
        <v>0</v>
      </c>
      <c r="G11" s="126">
        <v>18925308</v>
      </c>
      <c r="H11" s="126">
        <v>2404294</v>
      </c>
      <c r="I11" s="122"/>
      <c r="J11" s="127">
        <v>56486</v>
      </c>
      <c r="K11" s="128">
        <v>0</v>
      </c>
      <c r="L11" s="108">
        <f t="shared" si="3"/>
        <v>1.0925457568457788</v>
      </c>
      <c r="M11" s="128"/>
      <c r="N11" s="128"/>
      <c r="O11" s="107"/>
      <c r="P11" s="107">
        <f t="shared" si="1"/>
        <v>497.34983907516909</v>
      </c>
      <c r="Q11" s="108">
        <f t="shared" si="4"/>
        <v>1.1649452825043216</v>
      </c>
      <c r="U11" s="129" t="s">
        <v>417</v>
      </c>
      <c r="V11" s="121">
        <v>3</v>
      </c>
    </row>
    <row r="12" spans="1:1024" ht="38.1" customHeight="1">
      <c r="A12" s="112">
        <v>8</v>
      </c>
      <c r="B12" s="122" t="s">
        <v>454</v>
      </c>
      <c r="C12" s="123">
        <v>3009</v>
      </c>
      <c r="D12" s="124">
        <v>29029819.670000002</v>
      </c>
      <c r="E12" s="125">
        <f t="shared" si="2"/>
        <v>47895173</v>
      </c>
      <c r="F12" s="125">
        <v>6781514</v>
      </c>
      <c r="G12" s="126">
        <v>39230027</v>
      </c>
      <c r="H12" s="126">
        <v>1883632</v>
      </c>
      <c r="I12" s="122"/>
      <c r="J12" s="127">
        <v>87216</v>
      </c>
      <c r="K12" s="128">
        <v>0</v>
      </c>
      <c r="L12" s="108">
        <f t="shared" si="3"/>
        <v>0.87458499575862902</v>
      </c>
      <c r="M12" s="128"/>
      <c r="N12" s="128"/>
      <c r="O12" s="107"/>
      <c r="P12" s="107">
        <f t="shared" si="1"/>
        <v>332.8497026921666</v>
      </c>
      <c r="Q12" s="108">
        <f t="shared" si="4"/>
        <v>0.77963570201457522</v>
      </c>
      <c r="U12" s="129" t="s">
        <v>419</v>
      </c>
      <c r="V12" s="121">
        <v>2</v>
      </c>
    </row>
    <row r="13" spans="1:1024" ht="74.650000000000006" customHeight="1">
      <c r="A13" s="112">
        <v>9</v>
      </c>
      <c r="B13" s="122" t="s">
        <v>455</v>
      </c>
      <c r="C13" s="123">
        <v>3010</v>
      </c>
      <c r="D13" s="124">
        <v>36407147.479999997</v>
      </c>
      <c r="E13" s="125">
        <f t="shared" si="2"/>
        <v>37512606</v>
      </c>
      <c r="F13" s="125">
        <v>16490580</v>
      </c>
      <c r="G13" s="126">
        <v>18601626</v>
      </c>
      <c r="H13" s="126">
        <v>2420400</v>
      </c>
      <c r="I13" s="122"/>
      <c r="J13" s="127">
        <v>129966</v>
      </c>
      <c r="K13" s="128">
        <v>0</v>
      </c>
      <c r="L13" s="108">
        <f t="shared" si="3"/>
        <v>0.86129624339367228</v>
      </c>
      <c r="M13" s="128"/>
      <c r="N13" s="128"/>
      <c r="O13" s="107"/>
      <c r="P13" s="107">
        <f t="shared" si="1"/>
        <v>280.12824492559588</v>
      </c>
      <c r="Q13" s="108">
        <f t="shared" si="4"/>
        <v>0.65614593950429767</v>
      </c>
      <c r="U13" s="129" t="s">
        <v>421</v>
      </c>
      <c r="V13" s="121">
        <v>1</v>
      </c>
    </row>
    <row r="14" spans="1:1024" ht="60.6" customHeight="1">
      <c r="A14" s="112">
        <v>10</v>
      </c>
      <c r="B14" s="122" t="s">
        <v>456</v>
      </c>
      <c r="C14" s="114">
        <v>3011</v>
      </c>
      <c r="D14" s="124">
        <v>38453690.619999997</v>
      </c>
      <c r="E14" s="125">
        <f t="shared" si="2"/>
        <v>25611327</v>
      </c>
      <c r="F14" s="125">
        <v>3465813</v>
      </c>
      <c r="G14" s="126">
        <v>20656484</v>
      </c>
      <c r="H14" s="126">
        <v>1489030</v>
      </c>
      <c r="I14" s="122"/>
      <c r="J14" s="127">
        <v>79230</v>
      </c>
      <c r="K14" s="128">
        <v>0</v>
      </c>
      <c r="L14" s="108">
        <f t="shared" si="3"/>
        <v>1.1086648901173817</v>
      </c>
      <c r="M14" s="128"/>
      <c r="N14" s="128"/>
      <c r="O14" s="107"/>
      <c r="P14" s="107">
        <f t="shared" si="1"/>
        <v>485.34255484033821</v>
      </c>
      <c r="Q14" s="108">
        <f t="shared" si="4"/>
        <v>1.1368205541419574</v>
      </c>
      <c r="U14" s="130" t="s">
        <v>423</v>
      </c>
      <c r="V14" s="121">
        <v>0</v>
      </c>
    </row>
    <row r="15" spans="1:1024" ht="61.7" customHeight="1">
      <c r="A15" s="112">
        <v>11</v>
      </c>
      <c r="B15" s="122" t="s">
        <v>457</v>
      </c>
      <c r="C15" s="123">
        <v>3012</v>
      </c>
      <c r="D15" s="124">
        <v>32572711.48</v>
      </c>
      <c r="E15" s="125">
        <f t="shared" si="2"/>
        <v>44867955</v>
      </c>
      <c r="F15" s="125">
        <v>4287812</v>
      </c>
      <c r="G15" s="126">
        <v>38375525</v>
      </c>
      <c r="H15" s="126">
        <v>2204618</v>
      </c>
      <c r="I15" s="122"/>
      <c r="J15" s="127">
        <v>77488</v>
      </c>
      <c r="K15" s="128">
        <v>0</v>
      </c>
      <c r="L15" s="108">
        <f t="shared" si="3"/>
        <v>1.0201635087341288</v>
      </c>
      <c r="M15" s="128"/>
      <c r="N15" s="128"/>
      <c r="O15" s="107"/>
      <c r="P15" s="107">
        <f t="shared" si="1"/>
        <v>420.35813906669421</v>
      </c>
      <c r="Q15" s="108">
        <f t="shared" si="4"/>
        <v>0.98460719717661149</v>
      </c>
    </row>
    <row r="16" spans="1:1024" ht="55.7" customHeight="1">
      <c r="A16" s="112">
        <v>12</v>
      </c>
      <c r="B16" s="122" t="s">
        <v>458</v>
      </c>
      <c r="C16" s="114">
        <v>3013</v>
      </c>
      <c r="D16" s="124">
        <v>20218199.989999998</v>
      </c>
      <c r="E16" s="125">
        <f t="shared" si="2"/>
        <v>18425053</v>
      </c>
      <c r="F16" s="125">
        <v>3916951</v>
      </c>
      <c r="G16" s="126">
        <v>10972979</v>
      </c>
      <c r="H16" s="126">
        <v>3535123</v>
      </c>
      <c r="I16" s="122"/>
      <c r="J16" s="127">
        <v>56485</v>
      </c>
      <c r="K16" s="128">
        <v>0</v>
      </c>
      <c r="L16" s="108">
        <f t="shared" si="3"/>
        <v>0.99127730074517761</v>
      </c>
      <c r="M16" s="128"/>
      <c r="N16" s="128"/>
      <c r="O16" s="107"/>
      <c r="P16" s="107">
        <f t="shared" si="1"/>
        <v>357.93927573692127</v>
      </c>
      <c r="Q16" s="108">
        <f t="shared" si="4"/>
        <v>0.83840314790916826</v>
      </c>
    </row>
    <row r="17" spans="1:17" ht="59.65" customHeight="1">
      <c r="A17" s="112">
        <v>13</v>
      </c>
      <c r="B17" s="122" t="s">
        <v>459</v>
      </c>
      <c r="C17" s="114">
        <v>3015</v>
      </c>
      <c r="D17" s="124">
        <v>31694137.609999999</v>
      </c>
      <c r="E17" s="125">
        <f t="shared" si="2"/>
        <v>28733137</v>
      </c>
      <c r="F17" s="125">
        <v>2063252</v>
      </c>
      <c r="G17" s="126">
        <v>24881883</v>
      </c>
      <c r="H17" s="126">
        <v>1788002</v>
      </c>
      <c r="I17" s="122"/>
      <c r="J17" s="127">
        <v>75363</v>
      </c>
      <c r="K17" s="128">
        <v>0</v>
      </c>
      <c r="L17" s="108">
        <f t="shared" si="3"/>
        <v>0.95442094178941816</v>
      </c>
      <c r="M17" s="128"/>
      <c r="N17" s="128"/>
      <c r="O17" s="107"/>
      <c r="P17" s="107">
        <f t="shared" si="1"/>
        <v>420.55302482650637</v>
      </c>
      <c r="Q17" s="108">
        <f t="shared" si="4"/>
        <v>0.98506367917114201</v>
      </c>
    </row>
    <row r="18" spans="1:17" ht="106.5" customHeight="1">
      <c r="A18" s="112">
        <v>14</v>
      </c>
      <c r="B18" s="122" t="s">
        <v>460</v>
      </c>
      <c r="C18" s="123">
        <v>3017</v>
      </c>
      <c r="D18" s="124">
        <v>64840858.780000001</v>
      </c>
      <c r="E18" s="125">
        <f t="shared" si="2"/>
        <v>73429466</v>
      </c>
      <c r="F18" s="125">
        <v>6040392</v>
      </c>
      <c r="G18" s="126">
        <v>66873801</v>
      </c>
      <c r="H18" s="126">
        <v>515273</v>
      </c>
      <c r="I18" s="122"/>
      <c r="J18" s="127">
        <v>161519</v>
      </c>
      <c r="K18" s="128">
        <v>0</v>
      </c>
      <c r="L18" s="108">
        <f t="shared" si="3"/>
        <v>0.89447516055352405</v>
      </c>
      <c r="M18" s="128"/>
      <c r="N18" s="128"/>
      <c r="O18" s="107"/>
      <c r="P18" s="107">
        <f t="shared" si="1"/>
        <v>401.44415691033254</v>
      </c>
      <c r="Q18" s="108">
        <f t="shared" si="4"/>
        <v>0.9403048720217535</v>
      </c>
    </row>
    <row r="19" spans="1:17" ht="54.75" customHeight="1">
      <c r="A19" s="112">
        <v>15</v>
      </c>
      <c r="B19" s="122" t="s">
        <v>461</v>
      </c>
      <c r="C19" s="123">
        <v>3018</v>
      </c>
      <c r="D19" s="124">
        <v>29513581.68</v>
      </c>
      <c r="E19" s="125">
        <f t="shared" si="2"/>
        <v>25292764</v>
      </c>
      <c r="F19" s="125">
        <v>3234537</v>
      </c>
      <c r="G19" s="126">
        <v>20468493</v>
      </c>
      <c r="H19" s="126">
        <v>1589734</v>
      </c>
      <c r="I19" s="122"/>
      <c r="J19" s="127">
        <v>55403</v>
      </c>
      <c r="K19" s="128">
        <v>0</v>
      </c>
      <c r="L19" s="108">
        <f t="shared" si="3"/>
        <v>1.254165027131722</v>
      </c>
      <c r="M19" s="128"/>
      <c r="N19" s="128"/>
      <c r="O19" s="107"/>
      <c r="P19" s="107">
        <f t="shared" si="1"/>
        <v>532.70728444308065</v>
      </c>
      <c r="Q19" s="108">
        <f t="shared" si="4"/>
        <v>1.2477632226072992</v>
      </c>
    </row>
    <row r="20" spans="1:17" ht="86.65" customHeight="1">
      <c r="A20" s="112">
        <v>16</v>
      </c>
      <c r="B20" s="122" t="s">
        <v>462</v>
      </c>
      <c r="C20" s="123">
        <v>3019</v>
      </c>
      <c r="D20" s="124">
        <v>56631160.210000001</v>
      </c>
      <c r="E20" s="125">
        <f t="shared" si="2"/>
        <v>72915949</v>
      </c>
      <c r="F20" s="125">
        <v>4869111</v>
      </c>
      <c r="G20" s="126">
        <v>67275007</v>
      </c>
      <c r="H20" s="126">
        <v>771831</v>
      </c>
      <c r="I20" s="122"/>
      <c r="J20" s="127">
        <v>136621</v>
      </c>
      <c r="K20" s="128">
        <v>0</v>
      </c>
      <c r="L20" s="108">
        <f t="shared" si="3"/>
        <v>0.92233969986794906</v>
      </c>
      <c r="M20" s="128"/>
      <c r="N20" s="128"/>
      <c r="O20" s="107"/>
      <c r="P20" s="107">
        <f t="shared" si="1"/>
        <v>414.5128509526354</v>
      </c>
      <c r="Q20" s="108">
        <f t="shared" si="4"/>
        <v>0.97091574645449275</v>
      </c>
    </row>
    <row r="21" spans="1:17" ht="79.7" customHeight="1">
      <c r="A21" s="112">
        <v>17</v>
      </c>
      <c r="B21" s="122" t="s">
        <v>463</v>
      </c>
      <c r="C21" s="123">
        <v>3020</v>
      </c>
      <c r="D21" s="124">
        <v>32154118.199999999</v>
      </c>
      <c r="E21" s="125">
        <f t="shared" si="2"/>
        <v>30182187</v>
      </c>
      <c r="F21" s="125">
        <v>5216813</v>
      </c>
      <c r="G21" s="126">
        <v>23075795</v>
      </c>
      <c r="H21" s="126">
        <v>1889579</v>
      </c>
      <c r="I21" s="122"/>
      <c r="J21" s="127">
        <v>63147</v>
      </c>
      <c r="K21" s="128">
        <v>0</v>
      </c>
      <c r="L21" s="108">
        <f t="shared" si="3"/>
        <v>1.2581083686151397</v>
      </c>
      <c r="M21" s="128"/>
      <c r="N21" s="128"/>
      <c r="O21" s="107"/>
      <c r="P21" s="107">
        <f t="shared" si="1"/>
        <v>509.19470758705876</v>
      </c>
      <c r="Q21" s="108">
        <f t="shared" si="4"/>
        <v>1.192689583619345</v>
      </c>
    </row>
    <row r="22" spans="1:17" ht="44.1" customHeight="1">
      <c r="A22" s="112">
        <v>18</v>
      </c>
      <c r="B22" s="122" t="s">
        <v>464</v>
      </c>
      <c r="C22" s="123">
        <v>3021</v>
      </c>
      <c r="D22" s="124">
        <v>221657438.05000001</v>
      </c>
      <c r="E22" s="125">
        <f t="shared" si="2"/>
        <v>63726219</v>
      </c>
      <c r="F22" s="125">
        <v>0</v>
      </c>
      <c r="G22" s="126">
        <v>48961923</v>
      </c>
      <c r="H22" s="126">
        <v>14764296</v>
      </c>
      <c r="I22" s="122"/>
      <c r="J22" s="127">
        <v>390308</v>
      </c>
      <c r="K22" s="125">
        <v>32760941</v>
      </c>
      <c r="L22" s="108">
        <f t="shared" si="3"/>
        <v>1.0558806049398406</v>
      </c>
      <c r="M22" s="128"/>
      <c r="N22" s="128"/>
      <c r="O22" s="107"/>
      <c r="P22" s="107">
        <f t="shared" si="1"/>
        <v>567.90390678643541</v>
      </c>
      <c r="Q22" s="108">
        <f t="shared" si="4"/>
        <v>1.3302044660491821</v>
      </c>
    </row>
    <row r="23" spans="1:17" ht="52.7" customHeight="1">
      <c r="A23" s="112">
        <v>19</v>
      </c>
      <c r="B23" s="122" t="s">
        <v>465</v>
      </c>
      <c r="C23" s="123">
        <v>3022</v>
      </c>
      <c r="D23" s="124">
        <v>24169799.440000001</v>
      </c>
      <c r="E23" s="125">
        <f t="shared" si="2"/>
        <v>20566200</v>
      </c>
      <c r="F23" s="125">
        <v>3227834</v>
      </c>
      <c r="G23" s="126">
        <v>16212001</v>
      </c>
      <c r="H23" s="126">
        <v>1126365</v>
      </c>
      <c r="I23" s="122"/>
      <c r="J23" s="127">
        <v>60405</v>
      </c>
      <c r="K23" s="128">
        <v>0</v>
      </c>
      <c r="L23" s="108">
        <f t="shared" si="3"/>
        <v>0.95554765340427494</v>
      </c>
      <c r="M23" s="128"/>
      <c r="N23" s="128"/>
      <c r="O23" s="107"/>
      <c r="P23" s="107">
        <f t="shared" si="1"/>
        <v>400.12911911265627</v>
      </c>
      <c r="Q23" s="108">
        <f t="shared" si="4"/>
        <v>0.93722465170527258</v>
      </c>
    </row>
    <row r="24" spans="1:17" ht="76.7" customHeight="1">
      <c r="A24" s="112">
        <v>20</v>
      </c>
      <c r="B24" s="122" t="s">
        <v>466</v>
      </c>
      <c r="C24" s="123">
        <v>3023</v>
      </c>
      <c r="D24" s="124">
        <v>24746473.09</v>
      </c>
      <c r="E24" s="125">
        <f t="shared" si="2"/>
        <v>29581159</v>
      </c>
      <c r="F24" s="125">
        <v>4871025</v>
      </c>
      <c r="G24" s="126">
        <v>23042467</v>
      </c>
      <c r="H24" s="126">
        <v>1667667</v>
      </c>
      <c r="I24" s="122"/>
      <c r="J24" s="127">
        <v>59371</v>
      </c>
      <c r="K24" s="128">
        <v>0</v>
      </c>
      <c r="L24" s="108">
        <f t="shared" si="3"/>
        <v>1.0662988040299621</v>
      </c>
      <c r="M24" s="128"/>
      <c r="N24" s="128"/>
      <c r="O24" s="107"/>
      <c r="P24" s="107">
        <f t="shared" si="1"/>
        <v>416.81078455811758</v>
      </c>
      <c r="Q24" s="108">
        <f t="shared" si="4"/>
        <v>0.9762982090651019</v>
      </c>
    </row>
    <row r="25" spans="1:17" ht="60.95" customHeight="1">
      <c r="A25" s="112">
        <v>21</v>
      </c>
      <c r="B25" s="122" t="s">
        <v>467</v>
      </c>
      <c r="C25" s="123">
        <v>3024</v>
      </c>
      <c r="D25" s="124">
        <v>35887907.950000003</v>
      </c>
      <c r="E25" s="125">
        <f t="shared" si="2"/>
        <v>29616839</v>
      </c>
      <c r="F25" s="125">
        <v>1879589</v>
      </c>
      <c r="G25" s="126">
        <v>26307388</v>
      </c>
      <c r="H25" s="126">
        <v>1429862</v>
      </c>
      <c r="I25" s="122"/>
      <c r="J25" s="127">
        <v>91185</v>
      </c>
      <c r="K25" s="128">
        <v>0</v>
      </c>
      <c r="L25" s="108">
        <f t="shared" si="3"/>
        <v>0.86985775267453636</v>
      </c>
      <c r="M25" s="128"/>
      <c r="N25" s="128"/>
      <c r="O25" s="107"/>
      <c r="P25" s="107">
        <f t="shared" si="1"/>
        <v>393.5724949278939</v>
      </c>
      <c r="Q25" s="108">
        <f t="shared" si="4"/>
        <v>0.92186703456520103</v>
      </c>
    </row>
    <row r="26" spans="1:17" ht="60.6" customHeight="1">
      <c r="A26" s="112">
        <v>22</v>
      </c>
      <c r="B26" s="122" t="s">
        <v>468</v>
      </c>
      <c r="C26" s="123">
        <v>3025</v>
      </c>
      <c r="D26" s="124">
        <v>33249545.289999999</v>
      </c>
      <c r="E26" s="125">
        <f t="shared" si="2"/>
        <v>17351880</v>
      </c>
      <c r="F26" s="125">
        <v>1685855</v>
      </c>
      <c r="G26" s="126">
        <v>14192571</v>
      </c>
      <c r="H26" s="126">
        <v>1473454</v>
      </c>
      <c r="I26" s="122"/>
      <c r="J26" s="127">
        <v>58456</v>
      </c>
      <c r="K26" s="128">
        <v>0</v>
      </c>
      <c r="L26" s="108">
        <f t="shared" si="3"/>
        <v>1.2603546076245382</v>
      </c>
      <c r="M26" s="128"/>
      <c r="N26" s="128"/>
      <c r="O26" s="107"/>
      <c r="P26" s="107">
        <f t="shared" si="1"/>
        <v>568.79610801286435</v>
      </c>
      <c r="Q26" s="108">
        <f t="shared" si="4"/>
        <v>1.3322942739230637</v>
      </c>
    </row>
    <row r="27" spans="1:17" ht="66.95" customHeight="1">
      <c r="A27" s="112">
        <v>23</v>
      </c>
      <c r="B27" s="122" t="s">
        <v>469</v>
      </c>
      <c r="C27" s="123">
        <v>3026</v>
      </c>
      <c r="D27" s="124">
        <v>30077351.809999999</v>
      </c>
      <c r="E27" s="125">
        <f t="shared" si="2"/>
        <v>29762031</v>
      </c>
      <c r="F27" s="125">
        <v>2326580</v>
      </c>
      <c r="G27" s="126">
        <v>26506927</v>
      </c>
      <c r="H27" s="126">
        <v>928524</v>
      </c>
      <c r="I27" s="122"/>
      <c r="J27" s="127">
        <v>61325</v>
      </c>
      <c r="K27" s="128">
        <v>0</v>
      </c>
      <c r="L27" s="108">
        <f t="shared" si="3"/>
        <v>1.0998781894633063</v>
      </c>
      <c r="M27" s="128"/>
      <c r="N27" s="128"/>
      <c r="O27" s="107"/>
      <c r="P27" s="107">
        <f t="shared" si="1"/>
        <v>490.4582439461883</v>
      </c>
      <c r="Q27" s="108">
        <f t="shared" si="4"/>
        <v>1.1488030610664606</v>
      </c>
    </row>
    <row r="28" spans="1:17" ht="42" customHeight="1">
      <c r="A28" s="112">
        <v>24</v>
      </c>
      <c r="B28" s="122" t="s">
        <v>470</v>
      </c>
      <c r="C28" s="123">
        <v>3027</v>
      </c>
      <c r="D28" s="124">
        <v>35146245.859999999</v>
      </c>
      <c r="E28" s="125">
        <f t="shared" si="2"/>
        <v>38863967</v>
      </c>
      <c r="F28" s="125">
        <v>5280760</v>
      </c>
      <c r="G28" s="126">
        <v>32785234</v>
      </c>
      <c r="H28" s="126">
        <v>797973</v>
      </c>
      <c r="I28" s="122"/>
      <c r="J28" s="127">
        <v>84101</v>
      </c>
      <c r="K28" s="128">
        <v>0</v>
      </c>
      <c r="L28" s="108">
        <f t="shared" si="3"/>
        <v>0.99191422102933924</v>
      </c>
      <c r="M28" s="128"/>
      <c r="N28" s="128"/>
      <c r="O28" s="107"/>
      <c r="P28" s="107">
        <f t="shared" si="1"/>
        <v>417.90520754806721</v>
      </c>
      <c r="Q28" s="108">
        <f t="shared" si="4"/>
        <v>0.97886168209562885</v>
      </c>
    </row>
    <row r="29" spans="1:17" ht="41.45" customHeight="1">
      <c r="A29" s="112">
        <v>25</v>
      </c>
      <c r="B29" s="122" t="s">
        <v>471</v>
      </c>
      <c r="C29" s="123">
        <v>3028</v>
      </c>
      <c r="D29" s="124">
        <v>24166037.739999998</v>
      </c>
      <c r="E29" s="125">
        <f t="shared" si="2"/>
        <v>44168683</v>
      </c>
      <c r="F29" s="125">
        <v>5441360</v>
      </c>
      <c r="G29" s="126">
        <v>36284536</v>
      </c>
      <c r="H29" s="126">
        <v>2442787</v>
      </c>
      <c r="I29" s="122"/>
      <c r="J29" s="127">
        <v>70274</v>
      </c>
      <c r="K29" s="128">
        <v>0</v>
      </c>
      <c r="L29" s="108">
        <f t="shared" si="3"/>
        <v>0.922891609946344</v>
      </c>
      <c r="M29" s="128"/>
      <c r="N29" s="128"/>
      <c r="O29" s="107"/>
      <c r="P29" s="107">
        <f t="shared" si="1"/>
        <v>343.88305404559293</v>
      </c>
      <c r="Q29" s="108">
        <f t="shared" si="4"/>
        <v>0.80547918199495994</v>
      </c>
    </row>
    <row r="30" spans="1:17" ht="67.7" customHeight="1">
      <c r="A30" s="112">
        <v>26</v>
      </c>
      <c r="B30" s="122" t="s">
        <v>472</v>
      </c>
      <c r="C30" s="122">
        <v>3029</v>
      </c>
      <c r="D30" s="124">
        <v>20605495.350000001</v>
      </c>
      <c r="E30" s="125">
        <f t="shared" si="2"/>
        <v>31018226</v>
      </c>
      <c r="F30" s="125">
        <v>2206772</v>
      </c>
      <c r="G30" s="126">
        <v>27672826</v>
      </c>
      <c r="H30" s="126">
        <v>1138628</v>
      </c>
      <c r="I30" s="122"/>
      <c r="J30" s="127">
        <v>57326</v>
      </c>
      <c r="K30" s="128">
        <v>0</v>
      </c>
      <c r="L30" s="108">
        <f t="shared" si="3"/>
        <v>0.84544419938217974</v>
      </c>
      <c r="M30" s="128"/>
      <c r="N30" s="128"/>
      <c r="O30" s="107"/>
      <c r="P30" s="107">
        <f t="shared" si="1"/>
        <v>359.44415012385309</v>
      </c>
      <c r="Q30" s="108">
        <f t="shared" si="4"/>
        <v>0.84192802352002138</v>
      </c>
    </row>
    <row r="31" spans="1:17" ht="41.45" customHeight="1">
      <c r="A31" s="112">
        <v>27</v>
      </c>
      <c r="B31" s="122" t="s">
        <v>473</v>
      </c>
      <c r="C31" s="122">
        <v>3030</v>
      </c>
      <c r="D31" s="124">
        <v>30533810.43</v>
      </c>
      <c r="E31" s="125">
        <f t="shared" si="2"/>
        <v>35175478</v>
      </c>
      <c r="F31" s="125">
        <v>1911204</v>
      </c>
      <c r="G31" s="126">
        <v>31332865</v>
      </c>
      <c r="H31" s="126">
        <v>1931409</v>
      </c>
      <c r="I31" s="122"/>
      <c r="J31" s="127">
        <v>77667</v>
      </c>
      <c r="K31" s="128">
        <v>0</v>
      </c>
      <c r="L31" s="108">
        <f t="shared" si="3"/>
        <v>0.89565137059758138</v>
      </c>
      <c r="M31" s="128"/>
      <c r="N31" s="128"/>
      <c r="O31" s="107"/>
      <c r="P31" s="107">
        <f t="shared" si="1"/>
        <v>393.13750280041717</v>
      </c>
      <c r="Q31" s="108">
        <f t="shared" si="4"/>
        <v>0.92084815009592513</v>
      </c>
    </row>
    <row r="32" spans="1:17" ht="47.1" customHeight="1">
      <c r="A32" s="112">
        <v>28</v>
      </c>
      <c r="B32" s="122" t="s">
        <v>474</v>
      </c>
      <c r="C32" s="122">
        <v>3031</v>
      </c>
      <c r="D32" s="124">
        <v>19201040.690000001</v>
      </c>
      <c r="E32" s="125">
        <f t="shared" si="2"/>
        <v>37368940</v>
      </c>
      <c r="F32" s="125">
        <v>6684898</v>
      </c>
      <c r="G32" s="126">
        <v>28018174</v>
      </c>
      <c r="H32" s="126">
        <v>2665868</v>
      </c>
      <c r="I32" s="122"/>
      <c r="J32" s="127">
        <v>69606</v>
      </c>
      <c r="K32" s="128">
        <v>0</v>
      </c>
      <c r="L32" s="108">
        <f t="shared" si="3"/>
        <v>0.83004521886257343</v>
      </c>
      <c r="M32" s="128"/>
      <c r="N32" s="128"/>
      <c r="O32" s="107"/>
      <c r="P32" s="107">
        <f t="shared" si="1"/>
        <v>275.8532409562394</v>
      </c>
      <c r="Q32" s="108">
        <f t="shared" si="4"/>
        <v>0.64613257403091229</v>
      </c>
    </row>
    <row r="33" spans="3:3" s="132" customFormat="1">
      <c r="C33" s="131"/>
    </row>
  </sheetData>
  <autoFilter ref="A3:E32" xr:uid="{00000000-0009-0000-0000-000007000000}"/>
  <mergeCells count="13">
    <mergeCell ref="J2:J3"/>
    <mergeCell ref="A2:A3"/>
    <mergeCell ref="B2:B3"/>
    <mergeCell ref="C2:C3"/>
    <mergeCell ref="D2:D3"/>
    <mergeCell ref="F2:H2"/>
    <mergeCell ref="Q2:Q3"/>
    <mergeCell ref="K2:K3"/>
    <mergeCell ref="L2:L3"/>
    <mergeCell ref="M2:M3"/>
    <mergeCell ref="N2:N3"/>
    <mergeCell ref="O2:O3"/>
    <mergeCell ref="P2:P3"/>
  </mergeCells>
  <conditionalFormatting sqref="L5:L3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Q5:Q32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8749999999999998" right="0.78749999999999998" top="1.05277777777778" bottom="1.05277777777778" header="0.78749999999999998" footer="0.78749999999999998"/>
  <pageSetup paperSize="9" scale="80" firstPageNumber="0" orientation="landscape" horizontalDpi="300" verticalDpi="300"/>
  <headerFooter>
    <oddHeader>&amp;C&amp;"Times New Roman,Normalny"&amp;12&amp;A</oddHeader>
    <oddFooter>&amp;C&amp;"Times New Roman,Normalny"&amp;12Strona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>
    <pageSetUpPr fitToPage="1"/>
  </sheetPr>
  <dimension ref="A2:AMK7"/>
  <sheetViews>
    <sheetView zoomScale="110" zoomScaleNormal="110" workbookViewId="0">
      <selection activeCell="J37" sqref="J37"/>
    </sheetView>
  </sheetViews>
  <sheetFormatPr defaultColWidth="9.140625" defaultRowHeight="15.75"/>
  <cols>
    <col min="1" max="1" width="12.7109375" style="135" customWidth="1"/>
    <col min="2" max="2" width="9.28515625" style="135" customWidth="1"/>
    <col min="3" max="3" width="16.28515625" style="135" customWidth="1"/>
    <col min="4" max="4" width="15.85546875" style="135" customWidth="1"/>
    <col min="5" max="5" width="14.140625" style="135" customWidth="1"/>
    <col min="6" max="6" width="12.85546875" style="135" customWidth="1"/>
    <col min="7" max="7" width="17.28515625" style="135" customWidth="1"/>
    <col min="8" max="8" width="11.140625" style="135" customWidth="1"/>
    <col min="9" max="9" width="9.140625" style="135"/>
    <col min="10" max="10" width="12.85546875" style="135" customWidth="1"/>
    <col min="11" max="11" width="10.140625" style="135" customWidth="1"/>
    <col min="12" max="1025" width="9.140625" style="135"/>
    <col min="1026" max="16384" width="9.140625" style="133"/>
  </cols>
  <sheetData>
    <row r="2" spans="1:11" ht="15" customHeight="1">
      <c r="A2" s="387" t="s">
        <v>308</v>
      </c>
      <c r="B2" s="387" t="s">
        <v>475</v>
      </c>
      <c r="C2" s="386" t="s">
        <v>430</v>
      </c>
      <c r="D2" s="134" t="s">
        <v>431</v>
      </c>
      <c r="E2" s="386" t="s">
        <v>432</v>
      </c>
      <c r="F2" s="386"/>
      <c r="G2" s="386"/>
      <c r="H2" s="134"/>
      <c r="I2" s="386" t="s">
        <v>433</v>
      </c>
      <c r="J2" s="386" t="s">
        <v>476</v>
      </c>
      <c r="K2" s="386" t="s">
        <v>435</v>
      </c>
    </row>
    <row r="3" spans="1:11" ht="51" customHeight="1">
      <c r="A3" s="387"/>
      <c r="B3" s="387"/>
      <c r="C3" s="386"/>
      <c r="D3" s="134" t="s">
        <v>441</v>
      </c>
      <c r="E3" s="134" t="s">
        <v>442</v>
      </c>
      <c r="F3" s="134" t="s">
        <v>443</v>
      </c>
      <c r="G3" s="134" t="s">
        <v>444</v>
      </c>
      <c r="H3" s="134" t="s">
        <v>477</v>
      </c>
      <c r="I3" s="386"/>
      <c r="J3" s="386"/>
      <c r="K3" s="386"/>
    </row>
    <row r="4" spans="1:11">
      <c r="A4" s="136" t="s">
        <v>478</v>
      </c>
      <c r="B4" s="137"/>
      <c r="C4" s="137">
        <f>SUM(C5:C7)</f>
        <v>754908271.96000004</v>
      </c>
      <c r="D4" s="137">
        <f>SUM(D5:D7)</f>
        <v>224872592</v>
      </c>
      <c r="E4" s="137">
        <f>SUM(E5:E7)</f>
        <v>155809</v>
      </c>
      <c r="F4" s="137">
        <f>SUM(F5:F7)</f>
        <v>205570369</v>
      </c>
      <c r="G4" s="137">
        <f>SUM(G5:G7)</f>
        <v>19146414</v>
      </c>
      <c r="H4" s="137">
        <f>SUM(H5:H34)</f>
        <v>0</v>
      </c>
      <c r="I4" s="137">
        <f>SUM(I5:I7)</f>
        <v>239078</v>
      </c>
      <c r="J4" s="137">
        <f>SUM(J5:J7)</f>
        <v>4588541</v>
      </c>
      <c r="K4" s="138">
        <f>((C4-J4+E4+G4)/I4)/3278.28</f>
        <v>0.98195546033371606</v>
      </c>
    </row>
    <row r="5" spans="1:11">
      <c r="A5" s="139" t="s">
        <v>479</v>
      </c>
      <c r="B5" s="140">
        <v>3061</v>
      </c>
      <c r="C5" s="141">
        <v>314726758.51999998</v>
      </c>
      <c r="D5" s="141">
        <v>87211245</v>
      </c>
      <c r="E5" s="141">
        <v>0</v>
      </c>
      <c r="F5" s="141">
        <v>79634751</v>
      </c>
      <c r="G5" s="141">
        <v>7576494</v>
      </c>
      <c r="H5" s="137"/>
      <c r="I5" s="142">
        <v>100975</v>
      </c>
      <c r="J5" s="137">
        <v>3126076</v>
      </c>
      <c r="K5" s="138">
        <f>((C5-J5+E5+G5)/I5)/3278.28</f>
        <v>0.96421064659952482</v>
      </c>
    </row>
    <row r="6" spans="1:11">
      <c r="A6" s="139" t="s">
        <v>480</v>
      </c>
      <c r="B6" s="140">
        <v>3062</v>
      </c>
      <c r="C6" s="141">
        <v>247805276.5</v>
      </c>
      <c r="D6" s="141">
        <v>76827218</v>
      </c>
      <c r="E6" s="141">
        <v>155809</v>
      </c>
      <c r="F6" s="141">
        <v>68438951</v>
      </c>
      <c r="G6" s="141">
        <v>8232458</v>
      </c>
      <c r="H6" s="137"/>
      <c r="I6" s="142">
        <v>74151</v>
      </c>
      <c r="J6" s="137">
        <v>0</v>
      </c>
      <c r="K6" s="138">
        <f>((C6-J6+E6+G6)/I6)/3278.28</f>
        <v>1.053913879839864</v>
      </c>
    </row>
    <row r="7" spans="1:11">
      <c r="A7" s="139" t="s">
        <v>481</v>
      </c>
      <c r="B7" s="143">
        <v>3063</v>
      </c>
      <c r="C7" s="141">
        <v>192376236.94</v>
      </c>
      <c r="D7" s="141">
        <v>60834129</v>
      </c>
      <c r="E7" s="141">
        <v>0</v>
      </c>
      <c r="F7" s="141">
        <v>57496667</v>
      </c>
      <c r="G7" s="141">
        <v>3337462</v>
      </c>
      <c r="H7" s="141"/>
      <c r="I7" s="141">
        <v>63952</v>
      </c>
      <c r="J7" s="141">
        <v>1462465</v>
      </c>
      <c r="K7" s="138">
        <f>((C7-J7+E7+G7)/I7)/3278.28</f>
        <v>0.92653880099561226</v>
      </c>
    </row>
  </sheetData>
  <mergeCells count="7">
    <mergeCell ref="K2:K3"/>
    <mergeCell ref="A2:A3"/>
    <mergeCell ref="B2:B3"/>
    <mergeCell ref="C2:C3"/>
    <mergeCell ref="E2:G2"/>
    <mergeCell ref="I2:I3"/>
    <mergeCell ref="J2:J3"/>
  </mergeCells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wniosek</vt:lpstr>
      <vt:lpstr>powiaty</vt:lpstr>
      <vt:lpstr>gminy</vt:lpstr>
      <vt:lpstr>inne</vt:lpstr>
      <vt:lpstr>dane</vt:lpstr>
      <vt:lpstr>Ocena</vt:lpstr>
      <vt:lpstr>Wskaźniki</vt:lpstr>
      <vt:lpstr>PDW</vt:lpstr>
      <vt:lpstr>PDW Miasta</vt:lpstr>
      <vt:lpstr>zbiorczy</vt:lpstr>
      <vt:lpstr>Karta oceny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Politowski</dc:creator>
  <cp:lastModifiedBy>Dawid Politowski</cp:lastModifiedBy>
  <cp:lastPrinted>2022-10-19T07:12:45Z</cp:lastPrinted>
  <dcterms:created xsi:type="dcterms:W3CDTF">2019-02-27T10:07:58Z</dcterms:created>
  <dcterms:modified xsi:type="dcterms:W3CDTF">2023-01-03T06:53:49Z</dcterms:modified>
</cp:coreProperties>
</file>